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opći dio" sheetId="2" r:id="rId1"/>
    <sheet name="Ekonomska kl." sheetId="1" r:id="rId2"/>
    <sheet name="posebni dio-programska kl." sheetId="4" r:id="rId3"/>
  </sheets>
  <definedNames>
    <definedName name="_xlnm.Print_Titles" localSheetId="1">'Ekonomska kl.'!$A:$B,'Ekonomska kl.'!$8:$9</definedName>
    <definedName name="_xlnm.Print_Titles" localSheetId="0">'opći dio'!$11:$12</definedName>
    <definedName name="_xlnm.Print_Titles" localSheetId="2">'posebni dio-programska kl.'!$155:$156</definedName>
    <definedName name="_xlnm.Print_Area" localSheetId="1">'Ekonomska kl.'!$A$1:$T$113</definedName>
    <definedName name="_xlnm.Print_Area" localSheetId="0">'opći dio'!$A$1:$AA$30</definedName>
    <definedName name="_xlnm.Print_Area" localSheetId="2">'posebni dio-programska kl.'!$A$201:$N$213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7" i="4" l="1"/>
  <c r="M201" i="4"/>
  <c r="E26" i="2"/>
  <c r="AA13" i="2" l="1"/>
  <c r="N157" i="4" l="1"/>
  <c r="N158" i="4"/>
  <c r="M295" i="4" l="1"/>
  <c r="M281" i="4"/>
  <c r="M276" i="4"/>
  <c r="M272" i="4"/>
  <c r="M264" i="4"/>
  <c r="M353" i="4"/>
  <c r="M364" i="4" l="1"/>
  <c r="M362" i="4" s="1"/>
  <c r="M268" i="4"/>
  <c r="M290" i="4"/>
  <c r="M291" i="4"/>
  <c r="M270" i="4"/>
  <c r="M266" i="4"/>
  <c r="M265" i="4"/>
  <c r="M326" i="4"/>
  <c r="M315" i="4"/>
  <c r="M308" i="4"/>
  <c r="M307" i="4"/>
  <c r="M345" i="4"/>
  <c r="M306" i="4"/>
  <c r="D417" i="4"/>
  <c r="E417" i="4"/>
  <c r="F417" i="4"/>
  <c r="G417" i="4"/>
  <c r="H417" i="4"/>
  <c r="I417" i="4"/>
  <c r="J417" i="4"/>
  <c r="K417" i="4"/>
  <c r="L417" i="4"/>
  <c r="C417" i="4"/>
  <c r="M257" i="4"/>
  <c r="F256" i="4"/>
  <c r="F255" i="4" s="1"/>
  <c r="G256" i="4"/>
  <c r="G255" i="4" s="1"/>
  <c r="H256" i="4"/>
  <c r="H255" i="4" s="1"/>
  <c r="I256" i="4"/>
  <c r="I255" i="4" s="1"/>
  <c r="J256" i="4"/>
  <c r="J255" i="4" s="1"/>
  <c r="K256" i="4"/>
  <c r="K255" i="4" s="1"/>
  <c r="L256" i="4"/>
  <c r="L255" i="4" s="1"/>
  <c r="M256" i="4"/>
  <c r="M255" i="4" s="1"/>
  <c r="N255" i="4" s="1"/>
  <c r="E398" i="4"/>
  <c r="E410" i="4"/>
  <c r="E401" i="4"/>
  <c r="E400" i="4" s="1"/>
  <c r="E334" i="4"/>
  <c r="M336" i="4"/>
  <c r="N336" i="4" s="1"/>
  <c r="F336" i="4"/>
  <c r="E256" i="4"/>
  <c r="E255" i="4" s="1"/>
  <c r="M335" i="4" l="1"/>
  <c r="M164" i="4"/>
  <c r="M188" i="4"/>
  <c r="M183" i="4"/>
  <c r="E183" i="4"/>
  <c r="E164" i="4"/>
  <c r="D433" i="4"/>
  <c r="D420" i="4"/>
  <c r="D410" i="4"/>
  <c r="D394" i="4"/>
  <c r="D393" i="4" s="1"/>
  <c r="D390" i="4"/>
  <c r="D381" i="4"/>
  <c r="D380" i="4" s="1"/>
  <c r="D379" i="4" s="1"/>
  <c r="D378" i="4" s="1"/>
  <c r="D377" i="4" s="1"/>
  <c r="D375" i="4"/>
  <c r="D374" i="4" s="1"/>
  <c r="D373" i="4" s="1"/>
  <c r="D372" i="4" s="1"/>
  <c r="D370" i="4"/>
  <c r="D369" i="4" s="1"/>
  <c r="D368" i="4" s="1"/>
  <c r="D367" i="4" s="1"/>
  <c r="D352" i="4"/>
  <c r="D351" i="4" s="1"/>
  <c r="D343" i="4"/>
  <c r="D342" i="4" s="1"/>
  <c r="D338" i="4"/>
  <c r="D334" i="4" s="1"/>
  <c r="D333" i="4" s="1"/>
  <c r="D325" i="4"/>
  <c r="D324" i="4" s="1"/>
  <c r="D323" i="4" s="1"/>
  <c r="D319" i="4"/>
  <c r="D318" i="4" s="1"/>
  <c r="D305" i="4"/>
  <c r="D304" i="4" s="1"/>
  <c r="D300" i="4"/>
  <c r="D297" i="4"/>
  <c r="D293" i="4"/>
  <c r="D271" i="4"/>
  <c r="D263" i="4"/>
  <c r="D262" i="4" s="1"/>
  <c r="D252" i="4"/>
  <c r="D229" i="4"/>
  <c r="D228" i="4" s="1"/>
  <c r="D227" i="4" s="1"/>
  <c r="D212" i="4"/>
  <c r="D211" i="4" s="1"/>
  <c r="D209" i="4"/>
  <c r="D208" i="4" s="1"/>
  <c r="D206" i="4"/>
  <c r="D205" i="4" s="1"/>
  <c r="D203" i="4"/>
  <c r="D202" i="4" s="1"/>
  <c r="D187" i="4"/>
  <c r="D186" i="4" s="1"/>
  <c r="D182" i="4"/>
  <c r="D175" i="4"/>
  <c r="D172" i="4"/>
  <c r="D171" i="4"/>
  <c r="D168" i="4"/>
  <c r="D167" i="4" s="1"/>
  <c r="D163" i="4"/>
  <c r="D159" i="4"/>
  <c r="D158" i="4" s="1"/>
  <c r="R96" i="1"/>
  <c r="R82" i="1"/>
  <c r="R29" i="1"/>
  <c r="Q90" i="1"/>
  <c r="R91" i="1"/>
  <c r="Q86" i="1"/>
  <c r="Q37" i="1"/>
  <c r="Q14" i="1"/>
  <c r="Q26" i="1"/>
  <c r="Q26" i="2"/>
  <c r="P16" i="2"/>
  <c r="P13" i="2"/>
  <c r="P19" i="2" s="1"/>
  <c r="P26" i="2" s="1"/>
  <c r="D157" i="4" l="1"/>
  <c r="D201" i="4"/>
  <c r="D341" i="4"/>
  <c r="D296" i="4"/>
  <c r="D261" i="4" s="1"/>
  <c r="D419" i="4"/>
  <c r="D260" i="4"/>
  <c r="D226" i="4"/>
  <c r="D225" i="4" s="1"/>
  <c r="D303" i="4"/>
  <c r="P104" i="1"/>
  <c r="P96" i="1"/>
  <c r="P95" i="1" s="1"/>
  <c r="P89" i="1" s="1"/>
  <c r="P90" i="1"/>
  <c r="P87" i="1"/>
  <c r="P86" i="1" s="1"/>
  <c r="P81" i="1"/>
  <c r="P75" i="1"/>
  <c r="P66" i="1"/>
  <c r="P60" i="1"/>
  <c r="P55" i="1"/>
  <c r="P51" i="1"/>
  <c r="P44" i="1" s="1"/>
  <c r="P49" i="1"/>
  <c r="P45" i="1"/>
  <c r="P37" i="1"/>
  <c r="P32" i="1"/>
  <c r="P25" i="1"/>
  <c r="P22" i="1"/>
  <c r="P14" i="1"/>
  <c r="P11" i="1"/>
  <c r="P10" i="1" l="1"/>
  <c r="P38" i="1" s="1"/>
  <c r="P54" i="1"/>
  <c r="P43" i="1"/>
  <c r="P106" i="1" s="1"/>
  <c r="P107" i="1" s="1"/>
  <c r="R21" i="2"/>
  <c r="R18" i="2"/>
  <c r="R17" i="2"/>
  <c r="R15" i="2"/>
  <c r="R14" i="2"/>
  <c r="R13" i="2" s="1"/>
  <c r="O13" i="2"/>
  <c r="R104" i="1"/>
  <c r="R102" i="1"/>
  <c r="R93" i="1"/>
  <c r="R90" i="1" s="1"/>
  <c r="R87" i="1"/>
  <c r="R86" i="1" s="1"/>
  <c r="R81" i="1"/>
  <c r="R75" i="1"/>
  <c r="R66" i="1"/>
  <c r="R60" i="1"/>
  <c r="R55" i="1"/>
  <c r="R49" i="1"/>
  <c r="R51" i="1"/>
  <c r="R45" i="1"/>
  <c r="R33" i="1"/>
  <c r="R32" i="1" s="1"/>
  <c r="R26" i="1"/>
  <c r="R25" i="1" s="1"/>
  <c r="R23" i="1"/>
  <c r="R20" i="1"/>
  <c r="R19" i="1" s="1"/>
  <c r="R17" i="1"/>
  <c r="R14" i="1"/>
  <c r="R11" i="1" s="1"/>
  <c r="R44" i="1" l="1"/>
  <c r="R54" i="1"/>
  <c r="R43" i="1" s="1"/>
  <c r="R16" i="2"/>
  <c r="R22" i="1"/>
  <c r="R10" i="1" s="1"/>
  <c r="R38" i="1" s="1"/>
  <c r="Q54" i="1" l="1"/>
  <c r="O75" i="1"/>
  <c r="O87" i="1"/>
  <c r="O86" i="1" s="1"/>
  <c r="O66" i="1"/>
  <c r="O60" i="1"/>
  <c r="O55" i="1"/>
  <c r="O51" i="1"/>
  <c r="O49" i="1"/>
  <c r="O45" i="1"/>
  <c r="O96" i="1"/>
  <c r="O37" i="1"/>
  <c r="O14" i="1"/>
  <c r="O11" i="1" s="1"/>
  <c r="Q22" i="1"/>
  <c r="Q104" i="1"/>
  <c r="R100" i="1"/>
  <c r="R95" i="1" s="1"/>
  <c r="R89" i="1" s="1"/>
  <c r="Q95" i="1"/>
  <c r="O95" i="1"/>
  <c r="O89" i="1" s="1"/>
  <c r="Q81" i="1"/>
  <c r="O81" i="1"/>
  <c r="O44" i="1"/>
  <c r="S33" i="1"/>
  <c r="Q32" i="1"/>
  <c r="O32" i="1"/>
  <c r="Q25" i="1"/>
  <c r="O25" i="1"/>
  <c r="O22" i="1"/>
  <c r="S19" i="1"/>
  <c r="Q11" i="1"/>
  <c r="Q10" i="1" l="1"/>
  <c r="Q38" i="1" s="1"/>
  <c r="O54" i="1"/>
  <c r="O43" i="1" s="1"/>
  <c r="O106" i="1" s="1"/>
  <c r="Q89" i="1"/>
  <c r="S100" i="1"/>
  <c r="S36" i="1"/>
  <c r="Q44" i="1"/>
  <c r="O10" i="1"/>
  <c r="O38" i="1" s="1"/>
  <c r="S37" i="1"/>
  <c r="S26" i="1"/>
  <c r="S32" i="1"/>
  <c r="S87" i="1"/>
  <c r="S20" i="1"/>
  <c r="S12" i="1"/>
  <c r="S90" i="1"/>
  <c r="S93" i="1"/>
  <c r="E370" i="4"/>
  <c r="E369" i="4" s="1"/>
  <c r="E368" i="4" s="1"/>
  <c r="E367" i="4" s="1"/>
  <c r="E433" i="4"/>
  <c r="E420" i="4"/>
  <c r="E390" i="4"/>
  <c r="E381" i="4"/>
  <c r="E375" i="4"/>
  <c r="E325" i="4"/>
  <c r="E252" i="4"/>
  <c r="N371" i="4"/>
  <c r="M370" i="4"/>
  <c r="L370" i="4"/>
  <c r="L369" i="4" s="1"/>
  <c r="L368" i="4" s="1"/>
  <c r="L367" i="4" s="1"/>
  <c r="K370" i="4"/>
  <c r="K369" i="4" s="1"/>
  <c r="K368" i="4" s="1"/>
  <c r="K367" i="4" s="1"/>
  <c r="J370" i="4"/>
  <c r="J369" i="4" s="1"/>
  <c r="J368" i="4" s="1"/>
  <c r="J367" i="4" s="1"/>
  <c r="I370" i="4"/>
  <c r="I369" i="4" s="1"/>
  <c r="I368" i="4" s="1"/>
  <c r="I367" i="4" s="1"/>
  <c r="H370" i="4"/>
  <c r="H369" i="4" s="1"/>
  <c r="H368" i="4" s="1"/>
  <c r="H367" i="4" s="1"/>
  <c r="G370" i="4"/>
  <c r="G369" i="4" s="1"/>
  <c r="G368" i="4" s="1"/>
  <c r="G367" i="4" s="1"/>
  <c r="F370" i="4"/>
  <c r="F369" i="4" s="1"/>
  <c r="F368" i="4" s="1"/>
  <c r="F367" i="4" s="1"/>
  <c r="C370" i="4"/>
  <c r="C369" i="4" s="1"/>
  <c r="C368" i="4" s="1"/>
  <c r="C367" i="4" s="1"/>
  <c r="Z25" i="2"/>
  <c r="Z24" i="2"/>
  <c r="Z23" i="2"/>
  <c r="AA21" i="2"/>
  <c r="Z21" i="2"/>
  <c r="AA18" i="2"/>
  <c r="Z18" i="2"/>
  <c r="AA17" i="2"/>
  <c r="Z17" i="2"/>
  <c r="Y16" i="2"/>
  <c r="X16" i="2"/>
  <c r="W16" i="2"/>
  <c r="V16" i="2"/>
  <c r="U16" i="2"/>
  <c r="T16" i="2"/>
  <c r="S16" i="2"/>
  <c r="Q16" i="2"/>
  <c r="O16" i="2"/>
  <c r="O19" i="2" s="1"/>
  <c r="O26" i="2" s="1"/>
  <c r="Z15" i="2"/>
  <c r="AA14" i="2"/>
  <c r="Z14" i="2"/>
  <c r="Y13" i="2"/>
  <c r="Y19" i="2" s="1"/>
  <c r="Y26" i="2" s="1"/>
  <c r="X13" i="2"/>
  <c r="X19" i="2" s="1"/>
  <c r="X26" i="2" s="1"/>
  <c r="W13" i="2"/>
  <c r="W19" i="2" s="1"/>
  <c r="V13" i="2"/>
  <c r="U13" i="2"/>
  <c r="T13" i="2"/>
  <c r="S13" i="2"/>
  <c r="Q13" i="2"/>
  <c r="E419" i="4" l="1"/>
  <c r="N370" i="4"/>
  <c r="Q19" i="2"/>
  <c r="W26" i="2"/>
  <c r="Z16" i="2"/>
  <c r="U19" i="2"/>
  <c r="U26" i="2" s="1"/>
  <c r="AA16" i="2"/>
  <c r="T19" i="2"/>
  <c r="S19" i="2"/>
  <c r="S26" i="2" s="1"/>
  <c r="Q43" i="1"/>
  <c r="Q106" i="1" s="1"/>
  <c r="S10" i="1"/>
  <c r="O107" i="1"/>
  <c r="S49" i="1"/>
  <c r="S75" i="1"/>
  <c r="S51" i="1"/>
  <c r="S81" i="1"/>
  <c r="S66" i="1"/>
  <c r="S60" i="1"/>
  <c r="S45" i="1"/>
  <c r="S25" i="1"/>
  <c r="S29" i="1"/>
  <c r="S23" i="1"/>
  <c r="S17" i="1"/>
  <c r="S96" i="1"/>
  <c r="S82" i="1"/>
  <c r="M369" i="4"/>
  <c r="Z13" i="2"/>
  <c r="T26" i="2"/>
  <c r="V19" i="2"/>
  <c r="V26" i="2" s="1"/>
  <c r="R26" i="2" l="1"/>
  <c r="R19" i="2"/>
  <c r="AA19" i="2" s="1"/>
  <c r="Q107" i="1"/>
  <c r="S44" i="1"/>
  <c r="S14" i="1"/>
  <c r="S55" i="1"/>
  <c r="S22" i="1"/>
  <c r="S95" i="1"/>
  <c r="R106" i="1"/>
  <c r="S106" i="1" s="1"/>
  <c r="S43" i="1"/>
  <c r="S86" i="1"/>
  <c r="S54" i="1"/>
  <c r="N369" i="4"/>
  <c r="M368" i="4"/>
  <c r="Z19" i="2"/>
  <c r="Z26" i="2"/>
  <c r="S89" i="1" l="1"/>
  <c r="S11" i="1"/>
  <c r="N368" i="4"/>
  <c r="M367" i="4"/>
  <c r="N367" i="4" s="1"/>
  <c r="E172" i="4" l="1"/>
  <c r="E171" i="4" s="1"/>
  <c r="E187" i="4"/>
  <c r="E186" i="4" s="1"/>
  <c r="E182" i="4"/>
  <c r="E175" i="4" s="1"/>
  <c r="N14" i="2"/>
  <c r="N17" i="2"/>
  <c r="N18" i="2"/>
  <c r="N21" i="2"/>
  <c r="R107" i="1" l="1"/>
  <c r="S38" i="1"/>
  <c r="C206" i="4"/>
  <c r="C205" i="4" s="1"/>
  <c r="C203" i="4"/>
  <c r="C202" i="4" s="1"/>
  <c r="C188" i="4"/>
  <c r="C187" i="4" s="1"/>
  <c r="C186" i="4" s="1"/>
  <c r="C182" i="4"/>
  <c r="C175" i="4" s="1"/>
  <c r="C172" i="4"/>
  <c r="C171" i="4" s="1"/>
  <c r="E168" i="4"/>
  <c r="E167" i="4" s="1"/>
  <c r="C168" i="4"/>
  <c r="C167" i="4" s="1"/>
  <c r="N210" i="4"/>
  <c r="N213" i="4"/>
  <c r="E212" i="4"/>
  <c r="E211" i="4" s="1"/>
  <c r="E209" i="4"/>
  <c r="E208" i="4" s="1"/>
  <c r="E206" i="4"/>
  <c r="E205" i="4" s="1"/>
  <c r="E203" i="4"/>
  <c r="E202" i="4" s="1"/>
  <c r="L211" i="4"/>
  <c r="K211" i="4"/>
  <c r="J211" i="4"/>
  <c r="I211" i="4"/>
  <c r="H211" i="4"/>
  <c r="G211" i="4"/>
  <c r="F211" i="4"/>
  <c r="C211" i="4"/>
  <c r="M212" i="4"/>
  <c r="M211" i="4" s="1"/>
  <c r="L208" i="4"/>
  <c r="K208" i="4"/>
  <c r="J208" i="4"/>
  <c r="I208" i="4"/>
  <c r="H208" i="4"/>
  <c r="G208" i="4"/>
  <c r="F208" i="4"/>
  <c r="C208" i="4"/>
  <c r="M209" i="4"/>
  <c r="M208" i="4" s="1"/>
  <c r="M206" i="4"/>
  <c r="M205" i="4" s="1"/>
  <c r="M203" i="4"/>
  <c r="M202" i="4" s="1"/>
  <c r="L202" i="4"/>
  <c r="K202" i="4"/>
  <c r="J202" i="4"/>
  <c r="I202" i="4"/>
  <c r="H202" i="4"/>
  <c r="G202" i="4"/>
  <c r="F202" i="4"/>
  <c r="M187" i="4"/>
  <c r="M186" i="4" s="1"/>
  <c r="L186" i="4"/>
  <c r="K186" i="4"/>
  <c r="J186" i="4"/>
  <c r="I186" i="4"/>
  <c r="H186" i="4"/>
  <c r="G186" i="4"/>
  <c r="F186" i="4"/>
  <c r="M177" i="4"/>
  <c r="M176" i="4" s="1"/>
  <c r="M182" i="4"/>
  <c r="M180" i="4"/>
  <c r="M179" i="4" s="1"/>
  <c r="L175" i="4"/>
  <c r="K175" i="4"/>
  <c r="J175" i="4"/>
  <c r="I175" i="4"/>
  <c r="H175" i="4"/>
  <c r="G175" i="4"/>
  <c r="F175" i="4"/>
  <c r="F171" i="4"/>
  <c r="G171" i="4"/>
  <c r="H171" i="4"/>
  <c r="I171" i="4"/>
  <c r="J171" i="4"/>
  <c r="K171" i="4"/>
  <c r="L171" i="4"/>
  <c r="M173" i="4"/>
  <c r="M172" i="4" s="1"/>
  <c r="M171" i="4" s="1"/>
  <c r="F167" i="4"/>
  <c r="G167" i="4"/>
  <c r="H167" i="4"/>
  <c r="I167" i="4"/>
  <c r="J167" i="4"/>
  <c r="K167" i="4"/>
  <c r="L167" i="4"/>
  <c r="M167" i="4"/>
  <c r="M169" i="4"/>
  <c r="M168" i="4" s="1"/>
  <c r="G158" i="4"/>
  <c r="H158" i="4"/>
  <c r="I158" i="4"/>
  <c r="J158" i="4"/>
  <c r="K158" i="4"/>
  <c r="L158" i="4"/>
  <c r="M163" i="4"/>
  <c r="E163" i="4"/>
  <c r="C163" i="4"/>
  <c r="M160" i="4"/>
  <c r="M159" i="4" s="1"/>
  <c r="E159" i="4"/>
  <c r="F164" i="4"/>
  <c r="F162" i="4"/>
  <c r="C159" i="4"/>
  <c r="C433" i="4"/>
  <c r="C420" i="4"/>
  <c r="C410" i="4"/>
  <c r="C401" i="4"/>
  <c r="C381" i="4"/>
  <c r="C390" i="4"/>
  <c r="C375" i="4"/>
  <c r="C325" i="4"/>
  <c r="C263" i="4"/>
  <c r="G263" i="4"/>
  <c r="H263" i="4"/>
  <c r="I263" i="4"/>
  <c r="J263" i="4"/>
  <c r="K263" i="4"/>
  <c r="L263" i="4"/>
  <c r="C229" i="4"/>
  <c r="G229" i="4"/>
  <c r="H229" i="4"/>
  <c r="I229" i="4"/>
  <c r="J229" i="4"/>
  <c r="K229" i="4"/>
  <c r="L229" i="4"/>
  <c r="C252" i="4"/>
  <c r="C158" i="4" l="1"/>
  <c r="C157" i="4" s="1"/>
  <c r="N211" i="4"/>
  <c r="N205" i="4"/>
  <c r="C201" i="4"/>
  <c r="N167" i="4"/>
  <c r="N202" i="4"/>
  <c r="C419" i="4"/>
  <c r="G157" i="4"/>
  <c r="N206" i="4"/>
  <c r="K157" i="4"/>
  <c r="J157" i="4"/>
  <c r="I157" i="4"/>
  <c r="N209" i="4"/>
  <c r="N204" i="4"/>
  <c r="M158" i="4"/>
  <c r="L157" i="4"/>
  <c r="H157" i="4"/>
  <c r="N203" i="4"/>
  <c r="N212" i="4"/>
  <c r="N208" i="4"/>
  <c r="E201" i="4"/>
  <c r="C380" i="4"/>
  <c r="E158" i="4"/>
  <c r="N186" i="4"/>
  <c r="M175" i="4"/>
  <c r="N175" i="4" s="1"/>
  <c r="N171" i="4"/>
  <c r="F163" i="4"/>
  <c r="F161" i="4"/>
  <c r="C228" i="4"/>
  <c r="C227" i="4" s="1"/>
  <c r="F160" i="4"/>
  <c r="C400" i="4"/>
  <c r="C399" i="4" s="1"/>
  <c r="C352" i="4"/>
  <c r="C351" i="4" s="1"/>
  <c r="C343" i="4"/>
  <c r="C342" i="4" s="1"/>
  <c r="C338" i="4"/>
  <c r="C334" i="4" s="1"/>
  <c r="C333" i="4" s="1"/>
  <c r="C324" i="4"/>
  <c r="C323" i="4" s="1"/>
  <c r="C319" i="4"/>
  <c r="C318" i="4" s="1"/>
  <c r="C305" i="4"/>
  <c r="C304" i="4" s="1"/>
  <c r="C293" i="4"/>
  <c r="C271" i="4"/>
  <c r="E343" i="4"/>
  <c r="E342" i="4" s="1"/>
  <c r="E352" i="4"/>
  <c r="E351" i="4" s="1"/>
  <c r="F343" i="4"/>
  <c r="F342" i="4" s="1"/>
  <c r="H343" i="4"/>
  <c r="H342" i="4" s="1"/>
  <c r="I343" i="4"/>
  <c r="I342" i="4" s="1"/>
  <c r="J343" i="4"/>
  <c r="J342" i="4" s="1"/>
  <c r="K343" i="4"/>
  <c r="K342" i="4" s="1"/>
  <c r="L343" i="4"/>
  <c r="L342" i="4" s="1"/>
  <c r="E338" i="4"/>
  <c r="E333" i="4" s="1"/>
  <c r="G338" i="4"/>
  <c r="G334" i="4" s="1"/>
  <c r="G333" i="4" s="1"/>
  <c r="H338" i="4"/>
  <c r="H334" i="4" s="1"/>
  <c r="H333" i="4" s="1"/>
  <c r="I338" i="4"/>
  <c r="I334" i="4" s="1"/>
  <c r="I333" i="4" s="1"/>
  <c r="J338" i="4"/>
  <c r="J334" i="4" s="1"/>
  <c r="J333" i="4" s="1"/>
  <c r="K338" i="4"/>
  <c r="K334" i="4" s="1"/>
  <c r="K333" i="4" s="1"/>
  <c r="L338" i="4"/>
  <c r="L334" i="4" s="1"/>
  <c r="L333" i="4" s="1"/>
  <c r="E324" i="4"/>
  <c r="E323" i="4" s="1"/>
  <c r="F325" i="4"/>
  <c r="F324" i="4" s="1"/>
  <c r="F323" i="4" s="1"/>
  <c r="H325" i="4"/>
  <c r="H324" i="4" s="1"/>
  <c r="H323" i="4" s="1"/>
  <c r="I325" i="4"/>
  <c r="I324" i="4" s="1"/>
  <c r="I323" i="4" s="1"/>
  <c r="J325" i="4"/>
  <c r="J324" i="4" s="1"/>
  <c r="J323" i="4" s="1"/>
  <c r="K325" i="4"/>
  <c r="K324" i="4" s="1"/>
  <c r="K323" i="4" s="1"/>
  <c r="L325" i="4"/>
  <c r="L324" i="4" s="1"/>
  <c r="L323" i="4" s="1"/>
  <c r="E319" i="4"/>
  <c r="E318" i="4" s="1"/>
  <c r="E305" i="4"/>
  <c r="E304" i="4" s="1"/>
  <c r="F305" i="4"/>
  <c r="F304" i="4" s="1"/>
  <c r="G305" i="4"/>
  <c r="G304" i="4" s="1"/>
  <c r="H305" i="4"/>
  <c r="H304" i="4" s="1"/>
  <c r="I305" i="4"/>
  <c r="I304" i="4" s="1"/>
  <c r="J305" i="4"/>
  <c r="J304" i="4" s="1"/>
  <c r="K305" i="4"/>
  <c r="K304" i="4" s="1"/>
  <c r="L305" i="4"/>
  <c r="L304" i="4" s="1"/>
  <c r="N306" i="4"/>
  <c r="N320" i="4"/>
  <c r="N349" i="4"/>
  <c r="F437" i="4"/>
  <c r="F436" i="4" s="1"/>
  <c r="G437" i="4"/>
  <c r="G436" i="4" s="1"/>
  <c r="H437" i="4"/>
  <c r="H436" i="4" s="1"/>
  <c r="I437" i="4"/>
  <c r="I436" i="4" s="1"/>
  <c r="J437" i="4"/>
  <c r="J436" i="4" s="1"/>
  <c r="K437" i="4"/>
  <c r="K436" i="4" s="1"/>
  <c r="L437" i="4"/>
  <c r="L436" i="4" s="1"/>
  <c r="F394" i="4"/>
  <c r="F393" i="4" s="1"/>
  <c r="G394" i="4"/>
  <c r="G393" i="4" s="1"/>
  <c r="H394" i="4"/>
  <c r="H393" i="4" s="1"/>
  <c r="I394" i="4"/>
  <c r="I393" i="4" s="1"/>
  <c r="J394" i="4"/>
  <c r="J393" i="4" s="1"/>
  <c r="K394" i="4"/>
  <c r="K393" i="4" s="1"/>
  <c r="L394" i="4"/>
  <c r="L393" i="4" s="1"/>
  <c r="E293" i="4"/>
  <c r="E271" i="4"/>
  <c r="H271" i="4"/>
  <c r="I271" i="4"/>
  <c r="J271" i="4"/>
  <c r="K271" i="4"/>
  <c r="L271" i="4"/>
  <c r="E297" i="4"/>
  <c r="F297" i="4"/>
  <c r="F296" i="4" s="1"/>
  <c r="G297" i="4"/>
  <c r="G296" i="4" s="1"/>
  <c r="H297" i="4"/>
  <c r="H296" i="4" s="1"/>
  <c r="I297" i="4"/>
  <c r="I296" i="4" s="1"/>
  <c r="J297" i="4"/>
  <c r="J296" i="4" s="1"/>
  <c r="K297" i="4"/>
  <c r="K296" i="4" s="1"/>
  <c r="L297" i="4"/>
  <c r="L296" i="4" s="1"/>
  <c r="M331" i="4"/>
  <c r="N331" i="4" s="1"/>
  <c r="M329" i="4"/>
  <c r="M312" i="4"/>
  <c r="N312" i="4" s="1"/>
  <c r="M309" i="4"/>
  <c r="N309" i="4" s="1"/>
  <c r="M314" i="4"/>
  <c r="N314" i="4" s="1"/>
  <c r="M356" i="4"/>
  <c r="N353" i="4"/>
  <c r="M343" i="4"/>
  <c r="M342" i="4" s="1"/>
  <c r="M339" i="4"/>
  <c r="M338" i="4" s="1"/>
  <c r="M395" i="4"/>
  <c r="M394" i="4" s="1"/>
  <c r="M393" i="4" s="1"/>
  <c r="M391" i="4"/>
  <c r="M390" i="4" s="1"/>
  <c r="M387" i="4"/>
  <c r="M382" i="4"/>
  <c r="M294" i="4"/>
  <c r="M293" i="4" s="1"/>
  <c r="N276" i="4"/>
  <c r="M301" i="4"/>
  <c r="M300" i="4" s="1"/>
  <c r="M298" i="4"/>
  <c r="M297" i="4" s="1"/>
  <c r="M288" i="4"/>
  <c r="N281" i="4"/>
  <c r="N272" i="4"/>
  <c r="M269" i="4"/>
  <c r="M267" i="4"/>
  <c r="M263" i="4" s="1"/>
  <c r="M253" i="4"/>
  <c r="M252" i="4" s="1"/>
  <c r="M246" i="4"/>
  <c r="M239" i="4"/>
  <c r="M230" i="4"/>
  <c r="M233" i="4"/>
  <c r="M438" i="4"/>
  <c r="M437" i="4" s="1"/>
  <c r="M436" i="4" s="1"/>
  <c r="M434" i="4"/>
  <c r="M433" i="4" s="1"/>
  <c r="M430" i="4"/>
  <c r="M425" i="4"/>
  <c r="M421" i="4"/>
  <c r="M411" i="4"/>
  <c r="M415" i="4"/>
  <c r="M413" i="4"/>
  <c r="M408" i="4"/>
  <c r="M406" i="4"/>
  <c r="M402" i="4"/>
  <c r="N358" i="4"/>
  <c r="E356" i="4"/>
  <c r="L352" i="4"/>
  <c r="L351" i="4" s="1"/>
  <c r="K352" i="4"/>
  <c r="K351" i="4" s="1"/>
  <c r="J352" i="4"/>
  <c r="J351" i="4" s="1"/>
  <c r="I352" i="4"/>
  <c r="I351" i="4" s="1"/>
  <c r="H352" i="4"/>
  <c r="H351" i="4" s="1"/>
  <c r="G352" i="4"/>
  <c r="G351" i="4" s="1"/>
  <c r="F352" i="4"/>
  <c r="F351" i="4" s="1"/>
  <c r="G350" i="4"/>
  <c r="N350" i="4" s="1"/>
  <c r="F349" i="4"/>
  <c r="G345" i="4"/>
  <c r="G343" i="4" s="1"/>
  <c r="G342" i="4" s="1"/>
  <c r="F344" i="4"/>
  <c r="F339" i="4"/>
  <c r="F338" i="4" s="1"/>
  <c r="F334" i="4" s="1"/>
  <c r="F333" i="4" s="1"/>
  <c r="G329" i="4"/>
  <c r="G325" i="4" s="1"/>
  <c r="G324" i="4" s="1"/>
  <c r="G323" i="4" s="1"/>
  <c r="M319" i="4"/>
  <c r="M318" i="4" s="1"/>
  <c r="L319" i="4"/>
  <c r="L318" i="4" s="1"/>
  <c r="K319" i="4"/>
  <c r="K318" i="4" s="1"/>
  <c r="J319" i="4"/>
  <c r="J318" i="4" s="1"/>
  <c r="I319" i="4"/>
  <c r="I318" i="4" s="1"/>
  <c r="H319" i="4"/>
  <c r="H318" i="4" s="1"/>
  <c r="G319" i="4"/>
  <c r="G318" i="4" s="1"/>
  <c r="F319" i="4"/>
  <c r="F318" i="4" s="1"/>
  <c r="M375" i="4"/>
  <c r="M374" i="4" s="1"/>
  <c r="M373" i="4" s="1"/>
  <c r="M372" i="4" s="1"/>
  <c r="M361" i="4"/>
  <c r="M360" i="4" s="1"/>
  <c r="M359" i="4" s="1"/>
  <c r="M334" i="4" l="1"/>
  <c r="M333" i="4" s="1"/>
  <c r="N333" i="4" s="1"/>
  <c r="N288" i="4"/>
  <c r="M271" i="4"/>
  <c r="M262" i="4" s="1"/>
  <c r="M261" i="4" s="1"/>
  <c r="C356" i="4"/>
  <c r="D356" i="4"/>
  <c r="N293" i="4"/>
  <c r="M325" i="4"/>
  <c r="M324" i="4" s="1"/>
  <c r="M323" i="4" s="1"/>
  <c r="N323" i="4" s="1"/>
  <c r="C226" i="4"/>
  <c r="C225" i="4" s="1"/>
  <c r="E157" i="4"/>
  <c r="M157" i="4"/>
  <c r="E341" i="4"/>
  <c r="N201" i="4"/>
  <c r="F159" i="4"/>
  <c r="F158" i="4" s="1"/>
  <c r="F157" i="4" s="1"/>
  <c r="C262" i="4"/>
  <c r="C260" i="4" s="1"/>
  <c r="G303" i="4"/>
  <c r="H303" i="4"/>
  <c r="L303" i="4"/>
  <c r="N319" i="4"/>
  <c r="K303" i="4"/>
  <c r="I303" i="4"/>
  <c r="M229" i="4"/>
  <c r="N356" i="4"/>
  <c r="I341" i="4"/>
  <c r="F303" i="4"/>
  <c r="J303" i="4"/>
  <c r="N297" i="4"/>
  <c r="M305" i="4"/>
  <c r="M304" i="4" s="1"/>
  <c r="C341" i="4"/>
  <c r="N271" i="4"/>
  <c r="N339" i="4"/>
  <c r="N298" i="4"/>
  <c r="N329" i="4"/>
  <c r="N294" i="4"/>
  <c r="E303" i="4"/>
  <c r="N345" i="4"/>
  <c r="N334" i="4"/>
  <c r="M352" i="4"/>
  <c r="M351" i="4" s="1"/>
  <c r="K341" i="4"/>
  <c r="L341" i="4"/>
  <c r="M381" i="4"/>
  <c r="M296" i="4"/>
  <c r="M420" i="4"/>
  <c r="M401" i="4"/>
  <c r="M410" i="4"/>
  <c r="G341" i="4"/>
  <c r="H341" i="4"/>
  <c r="J341" i="4"/>
  <c r="F341" i="4"/>
  <c r="N305" i="4" l="1"/>
  <c r="N318" i="4"/>
  <c r="M341" i="4"/>
  <c r="N338" i="4"/>
  <c r="M419" i="4"/>
  <c r="M380" i="4"/>
  <c r="N352" i="4"/>
  <c r="M228" i="4"/>
  <c r="M227" i="4" s="1"/>
  <c r="M400" i="4"/>
  <c r="N351" i="4"/>
  <c r="M151" i="4"/>
  <c r="M150" i="4"/>
  <c r="N149" i="4"/>
  <c r="M148" i="4"/>
  <c r="M147" i="4" s="1"/>
  <c r="N147" i="4"/>
  <c r="M145" i="4"/>
  <c r="N144" i="4"/>
  <c r="M143" i="4"/>
  <c r="N142" i="4"/>
  <c r="M141" i="4"/>
  <c r="N140" i="4"/>
  <c r="M140" i="4" s="1"/>
  <c r="N139" i="4"/>
  <c r="M138" i="4"/>
  <c r="M136" i="4"/>
  <c r="M135" i="4"/>
  <c r="M134" i="4"/>
  <c r="N133" i="4"/>
  <c r="M129" i="4"/>
  <c r="N128" i="4"/>
  <c r="M127" i="4"/>
  <c r="N126" i="4"/>
  <c r="M125" i="4"/>
  <c r="M124" i="4"/>
  <c r="M123" i="4"/>
  <c r="M122" i="4"/>
  <c r="N121" i="4"/>
  <c r="M120" i="4"/>
  <c r="M119" i="4"/>
  <c r="M118" i="4"/>
  <c r="N117" i="4"/>
  <c r="M112" i="4"/>
  <c r="M111" i="4"/>
  <c r="N110" i="4"/>
  <c r="M109" i="4"/>
  <c r="M108" i="4" s="1"/>
  <c r="N108" i="4"/>
  <c r="M106" i="4"/>
  <c r="N105" i="4"/>
  <c r="M104" i="4"/>
  <c r="N103" i="4"/>
  <c r="M102" i="4"/>
  <c r="M101" i="4"/>
  <c r="M100" i="4"/>
  <c r="N99" i="4"/>
  <c r="M99" i="4" s="1"/>
  <c r="M97" i="4"/>
  <c r="M96" i="4"/>
  <c r="M95" i="4"/>
  <c r="N94" i="4"/>
  <c r="M90" i="4"/>
  <c r="M89" i="4"/>
  <c r="N88" i="4"/>
  <c r="M87" i="4"/>
  <c r="M86" i="4" s="1"/>
  <c r="N86" i="4"/>
  <c r="M84" i="4"/>
  <c r="N83" i="4"/>
  <c r="M82" i="4"/>
  <c r="N81" i="4"/>
  <c r="M80" i="4"/>
  <c r="M79" i="4"/>
  <c r="M78" i="4"/>
  <c r="M77" i="4"/>
  <c r="N76" i="4"/>
  <c r="M75" i="4"/>
  <c r="M74" i="4"/>
  <c r="M73" i="4"/>
  <c r="N72" i="4"/>
  <c r="N67" i="4"/>
  <c r="M66" i="4"/>
  <c r="M65" i="4" s="1"/>
  <c r="N65" i="4"/>
  <c r="N62" i="4"/>
  <c r="M61" i="4"/>
  <c r="N60" i="4"/>
  <c r="N55" i="4"/>
  <c r="M54" i="4"/>
  <c r="M53" i="4"/>
  <c r="M52" i="4"/>
  <c r="N51" i="4"/>
  <c r="M48" i="4"/>
  <c r="M47" i="4"/>
  <c r="N46" i="4"/>
  <c r="M45" i="4"/>
  <c r="M44" i="4" s="1"/>
  <c r="N44" i="4"/>
  <c r="N42" i="4"/>
  <c r="M42" i="4" s="1"/>
  <c r="M40" i="4"/>
  <c r="N39" i="4"/>
  <c r="M38" i="4"/>
  <c r="N37" i="4"/>
  <c r="M37" i="4" s="1"/>
  <c r="M36" i="4"/>
  <c r="M35" i="4"/>
  <c r="M33" i="4"/>
  <c r="N32" i="4"/>
  <c r="M31" i="4"/>
  <c r="M26" i="4"/>
  <c r="M25" i="4"/>
  <c r="N24" i="4"/>
  <c r="M23" i="4"/>
  <c r="M22" i="4" s="1"/>
  <c r="N22" i="4"/>
  <c r="M20" i="4"/>
  <c r="N19" i="4"/>
  <c r="M18" i="4"/>
  <c r="N17" i="4"/>
  <c r="M16" i="4"/>
  <c r="M15" i="4"/>
  <c r="M14" i="4"/>
  <c r="M13" i="4"/>
  <c r="N12" i="4"/>
  <c r="M11" i="4"/>
  <c r="M10" i="4"/>
  <c r="M9" i="4"/>
  <c r="N8" i="4"/>
  <c r="F434" i="4"/>
  <c r="L433" i="4"/>
  <c r="K433" i="4"/>
  <c r="J433" i="4"/>
  <c r="I433" i="4"/>
  <c r="H433" i="4"/>
  <c r="G433" i="4"/>
  <c r="F425" i="4"/>
  <c r="F421" i="4"/>
  <c r="L420" i="4"/>
  <c r="K420" i="4"/>
  <c r="J420" i="4"/>
  <c r="I420" i="4"/>
  <c r="H420" i="4"/>
  <c r="G420" i="4"/>
  <c r="L410" i="4"/>
  <c r="K410" i="4"/>
  <c r="J410" i="4"/>
  <c r="I410" i="4"/>
  <c r="H410" i="4"/>
  <c r="G410" i="4"/>
  <c r="F410" i="4"/>
  <c r="D408" i="4"/>
  <c r="D406" i="4"/>
  <c r="L401" i="4"/>
  <c r="K401" i="4"/>
  <c r="J401" i="4"/>
  <c r="I401" i="4"/>
  <c r="H401" i="4"/>
  <c r="G401" i="4"/>
  <c r="F401" i="4"/>
  <c r="C394" i="4"/>
  <c r="C393" i="4" s="1"/>
  <c r="L390" i="4"/>
  <c r="K390" i="4"/>
  <c r="J390" i="4"/>
  <c r="I390" i="4"/>
  <c r="H390" i="4"/>
  <c r="G390" i="4"/>
  <c r="F390" i="4"/>
  <c r="F387" i="4"/>
  <c r="L381" i="4"/>
  <c r="K381" i="4"/>
  <c r="J381" i="4"/>
  <c r="I381" i="4"/>
  <c r="H381" i="4"/>
  <c r="G381" i="4"/>
  <c r="L375" i="4"/>
  <c r="L374" i="4" s="1"/>
  <c r="L373" i="4" s="1"/>
  <c r="L372" i="4" s="1"/>
  <c r="K375" i="4"/>
  <c r="K374" i="4" s="1"/>
  <c r="K373" i="4" s="1"/>
  <c r="K372" i="4" s="1"/>
  <c r="J375" i="4"/>
  <c r="J374" i="4" s="1"/>
  <c r="J373" i="4" s="1"/>
  <c r="J372" i="4" s="1"/>
  <c r="I375" i="4"/>
  <c r="I374" i="4" s="1"/>
  <c r="I373" i="4" s="1"/>
  <c r="I372" i="4" s="1"/>
  <c r="H375" i="4"/>
  <c r="H374" i="4" s="1"/>
  <c r="H373" i="4" s="1"/>
  <c r="H372" i="4" s="1"/>
  <c r="G375" i="4"/>
  <c r="G374" i="4" s="1"/>
  <c r="G373" i="4" s="1"/>
  <c r="G372" i="4" s="1"/>
  <c r="F375" i="4"/>
  <c r="F374" i="4" s="1"/>
  <c r="F373" i="4" s="1"/>
  <c r="F372" i="4" s="1"/>
  <c r="E366" i="4"/>
  <c r="E363" i="4"/>
  <c r="L362" i="4"/>
  <c r="L361" i="4" s="1"/>
  <c r="L360" i="4" s="1"/>
  <c r="K362" i="4"/>
  <c r="K361" i="4" s="1"/>
  <c r="K360" i="4" s="1"/>
  <c r="J362" i="4"/>
  <c r="J361" i="4" s="1"/>
  <c r="J360" i="4" s="1"/>
  <c r="I362" i="4"/>
  <c r="I361" i="4" s="1"/>
  <c r="I360" i="4" s="1"/>
  <c r="H362" i="4"/>
  <c r="H361" i="4" s="1"/>
  <c r="H360" i="4" s="1"/>
  <c r="G362" i="4"/>
  <c r="G361" i="4" s="1"/>
  <c r="G360" i="4" s="1"/>
  <c r="F362" i="4"/>
  <c r="F361" i="4" s="1"/>
  <c r="F360" i="4" s="1"/>
  <c r="F294" i="4"/>
  <c r="L293" i="4"/>
  <c r="L262" i="4" s="1"/>
  <c r="L260" i="4" s="1"/>
  <c r="K293" i="4"/>
  <c r="K262" i="4" s="1"/>
  <c r="K260" i="4" s="1"/>
  <c r="J293" i="4"/>
  <c r="I293" i="4"/>
  <c r="I262" i="4" s="1"/>
  <c r="I260" i="4" s="1"/>
  <c r="H293" i="4"/>
  <c r="H262" i="4" s="1"/>
  <c r="H260" i="4" s="1"/>
  <c r="G293" i="4"/>
  <c r="G288" i="4"/>
  <c r="F281" i="4"/>
  <c r="G276" i="4"/>
  <c r="F272" i="4"/>
  <c r="N269" i="4"/>
  <c r="F267" i="4"/>
  <c r="N253" i="4"/>
  <c r="L252" i="4"/>
  <c r="L228" i="4" s="1"/>
  <c r="L227" i="4" s="1"/>
  <c r="L226" i="4" s="1"/>
  <c r="L225" i="4" s="1"/>
  <c r="K252" i="4"/>
  <c r="K228" i="4" s="1"/>
  <c r="K227" i="4" s="1"/>
  <c r="K226" i="4" s="1"/>
  <c r="K225" i="4" s="1"/>
  <c r="J252" i="4"/>
  <c r="J228" i="4" s="1"/>
  <c r="J227" i="4" s="1"/>
  <c r="J226" i="4" s="1"/>
  <c r="J225" i="4" s="1"/>
  <c r="I252" i="4"/>
  <c r="I228" i="4" s="1"/>
  <c r="I227" i="4" s="1"/>
  <c r="I226" i="4" s="1"/>
  <c r="I225" i="4" s="1"/>
  <c r="H252" i="4"/>
  <c r="H228" i="4" s="1"/>
  <c r="H227" i="4" s="1"/>
  <c r="H226" i="4" s="1"/>
  <c r="H225" i="4" s="1"/>
  <c r="G252" i="4"/>
  <c r="G228" i="4" s="1"/>
  <c r="G227" i="4" s="1"/>
  <c r="G226" i="4" s="1"/>
  <c r="G225" i="4" s="1"/>
  <c r="F252" i="4"/>
  <c r="F246" i="4"/>
  <c r="N246" i="4" s="1"/>
  <c r="F239" i="4"/>
  <c r="N239" i="4" s="1"/>
  <c r="F233" i="4"/>
  <c r="F230" i="4"/>
  <c r="E151" i="4"/>
  <c r="E150" i="4"/>
  <c r="L149" i="4"/>
  <c r="K149" i="4"/>
  <c r="J149" i="4"/>
  <c r="I149" i="4"/>
  <c r="H149" i="4"/>
  <c r="G149" i="4"/>
  <c r="F149" i="4"/>
  <c r="E148" i="4"/>
  <c r="D148" i="4" s="1"/>
  <c r="D147" i="4" s="1"/>
  <c r="L147" i="4"/>
  <c r="K147" i="4"/>
  <c r="J147" i="4"/>
  <c r="I147" i="4"/>
  <c r="I146" i="4" s="1"/>
  <c r="H147" i="4"/>
  <c r="G147" i="4"/>
  <c r="F147" i="4"/>
  <c r="E145" i="4"/>
  <c r="L144" i="4"/>
  <c r="K144" i="4"/>
  <c r="J144" i="4"/>
  <c r="I144" i="4"/>
  <c r="H144" i="4"/>
  <c r="G144" i="4"/>
  <c r="F144" i="4"/>
  <c r="E143" i="4"/>
  <c r="L142" i="4"/>
  <c r="K142" i="4"/>
  <c r="J142" i="4"/>
  <c r="I142" i="4"/>
  <c r="H142" i="4"/>
  <c r="G142" i="4"/>
  <c r="F142" i="4"/>
  <c r="E141" i="4"/>
  <c r="F140" i="4"/>
  <c r="E140" i="4" s="1"/>
  <c r="F139" i="4"/>
  <c r="E138" i="4"/>
  <c r="L137" i="4"/>
  <c r="K137" i="4"/>
  <c r="J137" i="4"/>
  <c r="I137" i="4"/>
  <c r="H137" i="4"/>
  <c r="G137" i="4"/>
  <c r="E136" i="4"/>
  <c r="E135" i="4"/>
  <c r="E134" i="4"/>
  <c r="L133" i="4"/>
  <c r="K133" i="4"/>
  <c r="J133" i="4"/>
  <c r="I133" i="4"/>
  <c r="H133" i="4"/>
  <c r="G133" i="4"/>
  <c r="F133" i="4"/>
  <c r="E129" i="4"/>
  <c r="L128" i="4"/>
  <c r="K128" i="4"/>
  <c r="J128" i="4"/>
  <c r="I128" i="4"/>
  <c r="H128" i="4"/>
  <c r="G128" i="4"/>
  <c r="F128" i="4"/>
  <c r="E127" i="4"/>
  <c r="L126" i="4"/>
  <c r="K126" i="4"/>
  <c r="J126" i="4"/>
  <c r="I126" i="4"/>
  <c r="H126" i="4"/>
  <c r="G126" i="4"/>
  <c r="F126" i="4"/>
  <c r="E125" i="4"/>
  <c r="E124" i="4"/>
  <c r="E123" i="4"/>
  <c r="E122" i="4"/>
  <c r="L121" i="4"/>
  <c r="K121" i="4"/>
  <c r="J121" i="4"/>
  <c r="I121" i="4"/>
  <c r="H121" i="4"/>
  <c r="G121" i="4"/>
  <c r="F121" i="4"/>
  <c r="E120" i="4"/>
  <c r="E119" i="4"/>
  <c r="E118" i="4"/>
  <c r="L117" i="4"/>
  <c r="K117" i="4"/>
  <c r="J117" i="4"/>
  <c r="I117" i="4"/>
  <c r="H117" i="4"/>
  <c r="G117" i="4"/>
  <c r="F117" i="4"/>
  <c r="E112" i="4"/>
  <c r="E111" i="4"/>
  <c r="L110" i="4"/>
  <c r="K110" i="4"/>
  <c r="J110" i="4"/>
  <c r="I110" i="4"/>
  <c r="H110" i="4"/>
  <c r="G110" i="4"/>
  <c r="F110" i="4"/>
  <c r="E109" i="4"/>
  <c r="D109" i="4" s="1"/>
  <c r="D108" i="4" s="1"/>
  <c r="L108" i="4"/>
  <c r="K108" i="4"/>
  <c r="J108" i="4"/>
  <c r="I108" i="4"/>
  <c r="H108" i="4"/>
  <c r="H107" i="4" s="1"/>
  <c r="G108" i="4"/>
  <c r="F108" i="4"/>
  <c r="E106" i="4"/>
  <c r="L105" i="4"/>
  <c r="K105" i="4"/>
  <c r="J105" i="4"/>
  <c r="I105" i="4"/>
  <c r="H105" i="4"/>
  <c r="G105" i="4"/>
  <c r="F105" i="4"/>
  <c r="E104" i="4"/>
  <c r="L103" i="4"/>
  <c r="K103" i="4"/>
  <c r="J103" i="4"/>
  <c r="I103" i="4"/>
  <c r="H103" i="4"/>
  <c r="G103" i="4"/>
  <c r="F103" i="4"/>
  <c r="E102" i="4"/>
  <c r="E101" i="4"/>
  <c r="E100" i="4"/>
  <c r="F99" i="4"/>
  <c r="E99" i="4" s="1"/>
  <c r="L98" i="4"/>
  <c r="K98" i="4"/>
  <c r="J98" i="4"/>
  <c r="I98" i="4"/>
  <c r="H98" i="4"/>
  <c r="G98" i="4"/>
  <c r="E97" i="4"/>
  <c r="E96" i="4"/>
  <c r="E95" i="4"/>
  <c r="L94" i="4"/>
  <c r="K94" i="4"/>
  <c r="J94" i="4"/>
  <c r="I94" i="4"/>
  <c r="H94" i="4"/>
  <c r="G94" i="4"/>
  <c r="F94" i="4"/>
  <c r="E90" i="4"/>
  <c r="E89" i="4"/>
  <c r="L88" i="4"/>
  <c r="K88" i="4"/>
  <c r="J88" i="4"/>
  <c r="I88" i="4"/>
  <c r="H88" i="4"/>
  <c r="G88" i="4"/>
  <c r="F88" i="4"/>
  <c r="E87" i="4"/>
  <c r="D87" i="4" s="1"/>
  <c r="D86" i="4" s="1"/>
  <c r="L86" i="4"/>
  <c r="K86" i="4"/>
  <c r="J86" i="4"/>
  <c r="I86" i="4"/>
  <c r="H86" i="4"/>
  <c r="G86" i="4"/>
  <c r="F86" i="4"/>
  <c r="E84" i="4"/>
  <c r="L83" i="4"/>
  <c r="K83" i="4"/>
  <c r="J83" i="4"/>
  <c r="I83" i="4"/>
  <c r="H83" i="4"/>
  <c r="G83" i="4"/>
  <c r="F83" i="4"/>
  <c r="E82" i="4"/>
  <c r="L81" i="4"/>
  <c r="K81" i="4"/>
  <c r="J81" i="4"/>
  <c r="I81" i="4"/>
  <c r="H81" i="4"/>
  <c r="G81" i="4"/>
  <c r="F81" i="4"/>
  <c r="E80" i="4"/>
  <c r="E79" i="4"/>
  <c r="E78" i="4"/>
  <c r="E77" i="4"/>
  <c r="L76" i="4"/>
  <c r="K76" i="4"/>
  <c r="J76" i="4"/>
  <c r="I76" i="4"/>
  <c r="H76" i="4"/>
  <c r="G76" i="4"/>
  <c r="F76" i="4"/>
  <c r="E75" i="4"/>
  <c r="E74" i="4"/>
  <c r="E73" i="4"/>
  <c r="L72" i="4"/>
  <c r="K72" i="4"/>
  <c r="J72" i="4"/>
  <c r="I72" i="4"/>
  <c r="H72" i="4"/>
  <c r="G72" i="4"/>
  <c r="F72" i="4"/>
  <c r="L67" i="4"/>
  <c r="K67" i="4"/>
  <c r="J67" i="4"/>
  <c r="I67" i="4"/>
  <c r="H67" i="4"/>
  <c r="G67" i="4"/>
  <c r="F67" i="4"/>
  <c r="E66" i="4"/>
  <c r="D66" i="4" s="1"/>
  <c r="D65" i="4" s="1"/>
  <c r="L65" i="4"/>
  <c r="K65" i="4"/>
  <c r="J65" i="4"/>
  <c r="I65" i="4"/>
  <c r="I64" i="4" s="1"/>
  <c r="H65" i="4"/>
  <c r="G65" i="4"/>
  <c r="G64" i="4" s="1"/>
  <c r="F65" i="4"/>
  <c r="L62" i="4"/>
  <c r="K62" i="4"/>
  <c r="J62" i="4"/>
  <c r="I62" i="4"/>
  <c r="H62" i="4"/>
  <c r="G62" i="4"/>
  <c r="F62" i="4"/>
  <c r="E61" i="4"/>
  <c r="L60" i="4"/>
  <c r="K60" i="4"/>
  <c r="J60" i="4"/>
  <c r="I60" i="4"/>
  <c r="H60" i="4"/>
  <c r="G60" i="4"/>
  <c r="F60" i="4"/>
  <c r="L55" i="4"/>
  <c r="K55" i="4"/>
  <c r="J55" i="4"/>
  <c r="I55" i="4"/>
  <c r="H55" i="4"/>
  <c r="G55" i="4"/>
  <c r="F55" i="4"/>
  <c r="E54" i="4"/>
  <c r="E53" i="4"/>
  <c r="E52" i="4"/>
  <c r="L51" i="4"/>
  <c r="K51" i="4"/>
  <c r="J51" i="4"/>
  <c r="I51" i="4"/>
  <c r="H51" i="4"/>
  <c r="G51" i="4"/>
  <c r="F51" i="4"/>
  <c r="E48" i="4"/>
  <c r="E47" i="4"/>
  <c r="L46" i="4"/>
  <c r="K46" i="4"/>
  <c r="J46" i="4"/>
  <c r="I46" i="4"/>
  <c r="H46" i="4"/>
  <c r="G46" i="4"/>
  <c r="F46" i="4"/>
  <c r="E45" i="4"/>
  <c r="D45" i="4" s="1"/>
  <c r="D44" i="4" s="1"/>
  <c r="L44" i="4"/>
  <c r="L43" i="4" s="1"/>
  <c r="K44" i="4"/>
  <c r="J44" i="4"/>
  <c r="I44" i="4"/>
  <c r="H44" i="4"/>
  <c r="G44" i="4"/>
  <c r="F44" i="4"/>
  <c r="F42" i="4"/>
  <c r="E42" i="4" s="1"/>
  <c r="L41" i="4"/>
  <c r="K41" i="4"/>
  <c r="J41" i="4"/>
  <c r="I41" i="4"/>
  <c r="H41" i="4"/>
  <c r="G41" i="4"/>
  <c r="E40" i="4"/>
  <c r="L39" i="4"/>
  <c r="K39" i="4"/>
  <c r="J39" i="4"/>
  <c r="I39" i="4"/>
  <c r="H39" i="4"/>
  <c r="G39" i="4"/>
  <c r="F39" i="4"/>
  <c r="E38" i="4"/>
  <c r="F37" i="4"/>
  <c r="E37" i="4" s="1"/>
  <c r="E36" i="4"/>
  <c r="E35" i="4"/>
  <c r="L34" i="4"/>
  <c r="K34" i="4"/>
  <c r="J34" i="4"/>
  <c r="I34" i="4"/>
  <c r="H34" i="4"/>
  <c r="G34" i="4"/>
  <c r="E33" i="4"/>
  <c r="F32" i="4"/>
  <c r="E32" i="4" s="1"/>
  <c r="E31" i="4"/>
  <c r="L30" i="4"/>
  <c r="K30" i="4"/>
  <c r="J30" i="4"/>
  <c r="I30" i="4"/>
  <c r="H30" i="4"/>
  <c r="G30" i="4"/>
  <c r="E26" i="4"/>
  <c r="E25" i="4"/>
  <c r="L24" i="4"/>
  <c r="K24" i="4"/>
  <c r="J24" i="4"/>
  <c r="I24" i="4"/>
  <c r="H24" i="4"/>
  <c r="G24" i="4"/>
  <c r="F24" i="4"/>
  <c r="E23" i="4"/>
  <c r="D23" i="4" s="1"/>
  <c r="D22" i="4" s="1"/>
  <c r="L22" i="4"/>
  <c r="K22" i="4"/>
  <c r="J22" i="4"/>
  <c r="I22" i="4"/>
  <c r="H22" i="4"/>
  <c r="G22" i="4"/>
  <c r="F22" i="4"/>
  <c r="E20" i="4"/>
  <c r="L19" i="4"/>
  <c r="K19" i="4"/>
  <c r="J19" i="4"/>
  <c r="I19" i="4"/>
  <c r="H19" i="4"/>
  <c r="G19" i="4"/>
  <c r="F19" i="4"/>
  <c r="E18" i="4"/>
  <c r="L17" i="4"/>
  <c r="K17" i="4"/>
  <c r="J17" i="4"/>
  <c r="I17" i="4"/>
  <c r="H17" i="4"/>
  <c r="G17" i="4"/>
  <c r="F17" i="4"/>
  <c r="E16" i="4"/>
  <c r="E15" i="4"/>
  <c r="E14" i="4"/>
  <c r="E13" i="4"/>
  <c r="L12" i="4"/>
  <c r="K12" i="4"/>
  <c r="J12" i="4"/>
  <c r="I12" i="4"/>
  <c r="H12" i="4"/>
  <c r="G12" i="4"/>
  <c r="F12" i="4"/>
  <c r="E11" i="4"/>
  <c r="E10" i="4"/>
  <c r="E9" i="4"/>
  <c r="L8" i="4"/>
  <c r="K8" i="4"/>
  <c r="J8" i="4"/>
  <c r="I8" i="4"/>
  <c r="H8" i="4"/>
  <c r="G8" i="4"/>
  <c r="F8" i="4"/>
  <c r="D401" i="4" l="1"/>
  <c r="D400" i="4" s="1"/>
  <c r="D399" i="4" s="1"/>
  <c r="C363" i="4"/>
  <c r="C362" i="4" s="1"/>
  <c r="C361" i="4" s="1"/>
  <c r="C360" i="4" s="1"/>
  <c r="D363" i="4"/>
  <c r="C366" i="4"/>
  <c r="D366" i="4"/>
  <c r="K259" i="4"/>
  <c r="C84" i="4"/>
  <c r="D84" i="4"/>
  <c r="C437" i="4"/>
  <c r="C436" i="4" s="1"/>
  <c r="D438" i="4"/>
  <c r="D437" i="4" s="1"/>
  <c r="D436" i="4" s="1"/>
  <c r="D418" i="4" s="1"/>
  <c r="D398" i="4" s="1"/>
  <c r="D397" i="4" s="1"/>
  <c r="C26" i="4"/>
  <c r="D26" i="4"/>
  <c r="C53" i="4"/>
  <c r="D53" i="4"/>
  <c r="C95" i="4"/>
  <c r="D95" i="4"/>
  <c r="C104" i="4"/>
  <c r="D104" i="4"/>
  <c r="C106" i="4"/>
  <c r="D106" i="4"/>
  <c r="C111" i="4"/>
  <c r="D111" i="4"/>
  <c r="C136" i="4"/>
  <c r="D136" i="4"/>
  <c r="C14" i="4"/>
  <c r="D14" i="4"/>
  <c r="C33" i="4"/>
  <c r="D33" i="4"/>
  <c r="C36" i="4"/>
  <c r="D36" i="4"/>
  <c r="C54" i="4"/>
  <c r="D54" i="4"/>
  <c r="C78" i="4"/>
  <c r="D78" i="4"/>
  <c r="C96" i="4"/>
  <c r="D96" i="4"/>
  <c r="C99" i="4"/>
  <c r="D99" i="4"/>
  <c r="C112" i="4"/>
  <c r="D112" i="4"/>
  <c r="C118" i="4"/>
  <c r="D118" i="4"/>
  <c r="C124" i="4"/>
  <c r="D124" i="4"/>
  <c r="C140" i="4"/>
  <c r="D140" i="4"/>
  <c r="C13" i="4"/>
  <c r="D13" i="4"/>
  <c r="C35" i="4"/>
  <c r="D35" i="4"/>
  <c r="C77" i="4"/>
  <c r="D77" i="4"/>
  <c r="C90" i="4"/>
  <c r="D90" i="4"/>
  <c r="C15" i="4"/>
  <c r="D15" i="4"/>
  <c r="C37" i="4"/>
  <c r="D37" i="4"/>
  <c r="C42" i="4"/>
  <c r="D42" i="4"/>
  <c r="C47" i="4"/>
  <c r="D47" i="4"/>
  <c r="C73" i="4"/>
  <c r="D73" i="4"/>
  <c r="C79" i="4"/>
  <c r="D79" i="4"/>
  <c r="C97" i="4"/>
  <c r="D97" i="4"/>
  <c r="C100" i="4"/>
  <c r="D100" i="4"/>
  <c r="C119" i="4"/>
  <c r="D119" i="4"/>
  <c r="C125" i="4"/>
  <c r="D125" i="4"/>
  <c r="C127" i="4"/>
  <c r="D127" i="4"/>
  <c r="C129" i="4"/>
  <c r="D129" i="4"/>
  <c r="C134" i="4"/>
  <c r="D134" i="4"/>
  <c r="C141" i="4"/>
  <c r="D141" i="4"/>
  <c r="C143" i="4"/>
  <c r="D143" i="4"/>
  <c r="C145" i="4"/>
  <c r="D145" i="4"/>
  <c r="C150" i="4"/>
  <c r="D150" i="4"/>
  <c r="C11" i="4"/>
  <c r="D11" i="4"/>
  <c r="C32" i="4"/>
  <c r="D32" i="4"/>
  <c r="C61" i="4"/>
  <c r="D61" i="4"/>
  <c r="C75" i="4"/>
  <c r="D75" i="4"/>
  <c r="C102" i="4"/>
  <c r="D102" i="4"/>
  <c r="C123" i="4"/>
  <c r="D123" i="4"/>
  <c r="C9" i="4"/>
  <c r="D9" i="4"/>
  <c r="C10" i="4"/>
  <c r="D10" i="4"/>
  <c r="C16" i="4"/>
  <c r="D16" i="4"/>
  <c r="C18" i="4"/>
  <c r="D18" i="4"/>
  <c r="C20" i="4"/>
  <c r="D20" i="4"/>
  <c r="C25" i="4"/>
  <c r="D25" i="4"/>
  <c r="C31" i="4"/>
  <c r="D31" i="4"/>
  <c r="C38" i="4"/>
  <c r="D38" i="4"/>
  <c r="C40" i="4"/>
  <c r="D40" i="4"/>
  <c r="C48" i="4"/>
  <c r="D48" i="4"/>
  <c r="C52" i="4"/>
  <c r="D52" i="4"/>
  <c r="C74" i="4"/>
  <c r="D74" i="4"/>
  <c r="D72" i="4" s="1"/>
  <c r="C80" i="4"/>
  <c r="D80" i="4"/>
  <c r="C82" i="4"/>
  <c r="D82" i="4"/>
  <c r="C89" i="4"/>
  <c r="D89" i="4"/>
  <c r="C101" i="4"/>
  <c r="D101" i="4"/>
  <c r="C120" i="4"/>
  <c r="D120" i="4"/>
  <c r="C122" i="4"/>
  <c r="D122" i="4"/>
  <c r="C135" i="4"/>
  <c r="D135" i="4"/>
  <c r="C138" i="4"/>
  <c r="D138" i="4"/>
  <c r="C151" i="4"/>
  <c r="D151" i="4"/>
  <c r="H259" i="4"/>
  <c r="L259" i="4"/>
  <c r="I259" i="4"/>
  <c r="F400" i="4"/>
  <c r="F399" i="4" s="1"/>
  <c r="J400" i="4"/>
  <c r="J399" i="4" s="1"/>
  <c r="N304" i="4"/>
  <c r="M303" i="4"/>
  <c r="I380" i="4"/>
  <c r="I379" i="4" s="1"/>
  <c r="I378" i="4" s="1"/>
  <c r="I377" i="4" s="1"/>
  <c r="I400" i="4"/>
  <c r="I399" i="4" s="1"/>
  <c r="H380" i="4"/>
  <c r="H379" i="4" s="1"/>
  <c r="H378" i="4" s="1"/>
  <c r="H377" i="4" s="1"/>
  <c r="L380" i="4"/>
  <c r="L379" i="4" s="1"/>
  <c r="L378" i="4" s="1"/>
  <c r="L377" i="4" s="1"/>
  <c r="N402" i="4"/>
  <c r="N415" i="4"/>
  <c r="C261" i="4"/>
  <c r="N406" i="4"/>
  <c r="E65" i="4"/>
  <c r="C66" i="4"/>
  <c r="C65" i="4" s="1"/>
  <c r="F271" i="4"/>
  <c r="N364" i="4"/>
  <c r="N382" i="4"/>
  <c r="G400" i="4"/>
  <c r="G399" i="4" s="1"/>
  <c r="K400" i="4"/>
  <c r="K399" i="4" s="1"/>
  <c r="N408" i="4"/>
  <c r="N411" i="4"/>
  <c r="N267" i="4"/>
  <c r="F263" i="4"/>
  <c r="N434" i="4"/>
  <c r="N430" i="4"/>
  <c r="N230" i="4"/>
  <c r="F229" i="4"/>
  <c r="F228" i="4" s="1"/>
  <c r="F227" i="4" s="1"/>
  <c r="F226" i="4" s="1"/>
  <c r="F225" i="4" s="1"/>
  <c r="N264" i="4"/>
  <c r="N376" i="4"/>
  <c r="J380" i="4"/>
  <c r="J379" i="4" s="1"/>
  <c r="J378" i="4" s="1"/>
  <c r="J377" i="4" s="1"/>
  <c r="N391" i="4"/>
  <c r="N413" i="4"/>
  <c r="N421" i="4"/>
  <c r="C303" i="4"/>
  <c r="E108" i="4"/>
  <c r="C109" i="4"/>
  <c r="C108" i="4" s="1"/>
  <c r="E22" i="4"/>
  <c r="C23" i="4"/>
  <c r="C22" i="4" s="1"/>
  <c r="E86" i="4"/>
  <c r="C87" i="4"/>
  <c r="C86" i="4" s="1"/>
  <c r="E44" i="4"/>
  <c r="C45" i="4"/>
  <c r="C44" i="4" s="1"/>
  <c r="E147" i="4"/>
  <c r="C148" i="4"/>
  <c r="C147" i="4" s="1"/>
  <c r="E437" i="4"/>
  <c r="N438" i="4"/>
  <c r="F359" i="4"/>
  <c r="J359" i="4"/>
  <c r="N342" i="4"/>
  <c r="N343" i="4"/>
  <c r="M399" i="4"/>
  <c r="I359" i="4"/>
  <c r="N324" i="4"/>
  <c r="N325" i="4"/>
  <c r="G271" i="4"/>
  <c r="G262" i="4" s="1"/>
  <c r="G260" i="4" s="1"/>
  <c r="G259" i="4" s="1"/>
  <c r="G359" i="4"/>
  <c r="K359" i="4"/>
  <c r="H400" i="4"/>
  <c r="H399" i="4" s="1"/>
  <c r="L400" i="4"/>
  <c r="L399" i="4" s="1"/>
  <c r="M260" i="4"/>
  <c r="M418" i="4"/>
  <c r="M417" i="4" s="1"/>
  <c r="E300" i="4"/>
  <c r="N301" i="4"/>
  <c r="J262" i="4"/>
  <c r="J260" i="4" s="1"/>
  <c r="J259" i="4" s="1"/>
  <c r="H359" i="4"/>
  <c r="L359" i="4"/>
  <c r="G380" i="4"/>
  <c r="G379" i="4" s="1"/>
  <c r="G378" i="4" s="1"/>
  <c r="G377" i="4" s="1"/>
  <c r="K380" i="4"/>
  <c r="K379" i="4" s="1"/>
  <c r="K378" i="4" s="1"/>
  <c r="K377" i="4" s="1"/>
  <c r="E394" i="4"/>
  <c r="N395" i="4"/>
  <c r="M379" i="4"/>
  <c r="N341" i="4"/>
  <c r="F107" i="4"/>
  <c r="H419" i="4"/>
  <c r="H418" i="4" s="1"/>
  <c r="L419" i="4"/>
  <c r="L418" i="4" s="1"/>
  <c r="J419" i="4"/>
  <c r="J418" i="4" s="1"/>
  <c r="J398" i="4" s="1"/>
  <c r="J397" i="4" s="1"/>
  <c r="G419" i="4"/>
  <c r="G418" i="4" s="1"/>
  <c r="K419" i="4"/>
  <c r="K418" i="4" s="1"/>
  <c r="I419" i="4"/>
  <c r="I418" i="4" s="1"/>
  <c r="I398" i="4" s="1"/>
  <c r="I397" i="4" s="1"/>
  <c r="N43" i="4"/>
  <c r="F98" i="4"/>
  <c r="E98" i="4" s="1"/>
  <c r="L107" i="4"/>
  <c r="N64" i="4"/>
  <c r="N98" i="4"/>
  <c r="N93" i="4" s="1"/>
  <c r="I21" i="4"/>
  <c r="H43" i="4"/>
  <c r="F293" i="4"/>
  <c r="E62" i="4"/>
  <c r="E142" i="4"/>
  <c r="M110" i="4"/>
  <c r="M128" i="4"/>
  <c r="I29" i="4"/>
  <c r="N41" i="4"/>
  <c r="M41" i="4" s="1"/>
  <c r="M72" i="4"/>
  <c r="M94" i="4"/>
  <c r="F71" i="4"/>
  <c r="J71" i="4"/>
  <c r="E76" i="4"/>
  <c r="H93" i="4"/>
  <c r="H92" i="4" s="1"/>
  <c r="H91" i="4" s="1"/>
  <c r="L93" i="4"/>
  <c r="G132" i="4"/>
  <c r="K132" i="4"/>
  <c r="E17" i="4"/>
  <c r="L146" i="4"/>
  <c r="M8" i="4"/>
  <c r="M51" i="4"/>
  <c r="I71" i="4"/>
  <c r="F116" i="4"/>
  <c r="F115" i="4" s="1"/>
  <c r="J116" i="4"/>
  <c r="J115" i="4" s="1"/>
  <c r="K116" i="4"/>
  <c r="K115" i="4" s="1"/>
  <c r="M62" i="4"/>
  <c r="M81" i="4"/>
  <c r="H7" i="4"/>
  <c r="L7" i="4"/>
  <c r="J43" i="4"/>
  <c r="I50" i="4"/>
  <c r="I49" i="4" s="1"/>
  <c r="G85" i="4"/>
  <c r="J107" i="4"/>
  <c r="I116" i="4"/>
  <c r="I115" i="4" s="1"/>
  <c r="H132" i="4"/>
  <c r="L132" i="4"/>
  <c r="N71" i="4"/>
  <c r="N116" i="4"/>
  <c r="N115" i="4" s="1"/>
  <c r="F30" i="4"/>
  <c r="E81" i="4"/>
  <c r="G146" i="4"/>
  <c r="M142" i="4"/>
  <c r="I85" i="4"/>
  <c r="E12" i="4"/>
  <c r="F41" i="4"/>
  <c r="E41" i="4" s="1"/>
  <c r="E126" i="4"/>
  <c r="N252" i="4"/>
  <c r="M17" i="4"/>
  <c r="K7" i="4"/>
  <c r="H29" i="4"/>
  <c r="L29" i="4"/>
  <c r="L28" i="4" s="1"/>
  <c r="G29" i="4"/>
  <c r="K29" i="4"/>
  <c r="E51" i="4"/>
  <c r="H50" i="4"/>
  <c r="L50" i="4"/>
  <c r="H71" i="4"/>
  <c r="L71" i="4"/>
  <c r="K85" i="4"/>
  <c r="E362" i="4"/>
  <c r="N7" i="4"/>
  <c r="M12" i="4"/>
  <c r="M32" i="4"/>
  <c r="M30" i="4" s="1"/>
  <c r="N30" i="4"/>
  <c r="M60" i="4"/>
  <c r="M83" i="4"/>
  <c r="F43" i="4"/>
  <c r="E110" i="4"/>
  <c r="G7" i="4"/>
  <c r="F7" i="4"/>
  <c r="J7" i="4"/>
  <c r="E8" i="4"/>
  <c r="G21" i="4"/>
  <c r="K21" i="4"/>
  <c r="G50" i="4"/>
  <c r="G49" i="4" s="1"/>
  <c r="K50" i="4"/>
  <c r="E60" i="4"/>
  <c r="J93" i="4"/>
  <c r="E94" i="4"/>
  <c r="J132" i="4"/>
  <c r="C374" i="4"/>
  <c r="C373" i="4" s="1"/>
  <c r="C372" i="4" s="1"/>
  <c r="M19" i="4"/>
  <c r="M24" i="4"/>
  <c r="M76" i="4"/>
  <c r="N107" i="4"/>
  <c r="M133" i="4"/>
  <c r="K146" i="4"/>
  <c r="K64" i="4"/>
  <c r="G93" i="4"/>
  <c r="K93" i="4"/>
  <c r="E105" i="4"/>
  <c r="M55" i="4"/>
  <c r="M117" i="4"/>
  <c r="M126" i="4"/>
  <c r="M105" i="4"/>
  <c r="N50" i="4"/>
  <c r="M67" i="4"/>
  <c r="N34" i="4"/>
  <c r="M39" i="4"/>
  <c r="M46" i="4"/>
  <c r="M121" i="4"/>
  <c r="M139" i="4"/>
  <c r="N137" i="4"/>
  <c r="M137" i="4" s="1"/>
  <c r="M144" i="4"/>
  <c r="M149" i="4"/>
  <c r="N146" i="4"/>
  <c r="N21" i="4"/>
  <c r="M88" i="4"/>
  <c r="N85" i="4"/>
  <c r="M103" i="4"/>
  <c r="H21" i="4"/>
  <c r="L21" i="4"/>
  <c r="G43" i="4"/>
  <c r="K43" i="4"/>
  <c r="E55" i="4"/>
  <c r="J50" i="4"/>
  <c r="H64" i="4"/>
  <c r="L64" i="4"/>
  <c r="E83" i="4"/>
  <c r="E88" i="4"/>
  <c r="J85" i="4"/>
  <c r="H116" i="4"/>
  <c r="H115" i="4" s="1"/>
  <c r="L116" i="4"/>
  <c r="L115" i="4" s="1"/>
  <c r="J146" i="4"/>
  <c r="I7" i="4"/>
  <c r="E30" i="4"/>
  <c r="E72" i="4"/>
  <c r="G71" i="4"/>
  <c r="K71" i="4"/>
  <c r="I93" i="4"/>
  <c r="I107" i="4"/>
  <c r="G116" i="4"/>
  <c r="G115" i="4" s="1"/>
  <c r="E117" i="4"/>
  <c r="K107" i="4"/>
  <c r="J21" i="4"/>
  <c r="J29" i="4"/>
  <c r="I43" i="4"/>
  <c r="E67" i="4"/>
  <c r="J64" i="4"/>
  <c r="H85" i="4"/>
  <c r="L85" i="4"/>
  <c r="E103" i="4"/>
  <c r="G107" i="4"/>
  <c r="E128" i="4"/>
  <c r="I132" i="4"/>
  <c r="I131" i="4" s="1"/>
  <c r="E144" i="4"/>
  <c r="H146" i="4"/>
  <c r="E19" i="4"/>
  <c r="E24" i="4"/>
  <c r="F21" i="4"/>
  <c r="F50" i="4"/>
  <c r="F64" i="4"/>
  <c r="E121" i="4"/>
  <c r="E139" i="4"/>
  <c r="F137" i="4"/>
  <c r="F433" i="4"/>
  <c r="F34" i="4"/>
  <c r="E34" i="4" s="1"/>
  <c r="E39" i="4"/>
  <c r="E46" i="4"/>
  <c r="E149" i="4"/>
  <c r="F146" i="4"/>
  <c r="F381" i="4"/>
  <c r="F85" i="4"/>
  <c r="E133" i="4"/>
  <c r="F420" i="4"/>
  <c r="B13" i="2"/>
  <c r="M259" i="4" l="1"/>
  <c r="C51" i="4"/>
  <c r="C72" i="4"/>
  <c r="D51" i="4"/>
  <c r="D30" i="4"/>
  <c r="D8" i="4"/>
  <c r="C67" i="4"/>
  <c r="D67" i="4"/>
  <c r="D362" i="4"/>
  <c r="D361" i="4" s="1"/>
  <c r="D360" i="4" s="1"/>
  <c r="C8" i="4"/>
  <c r="C30" i="4"/>
  <c r="C133" i="4"/>
  <c r="C117" i="4"/>
  <c r="C94" i="4"/>
  <c r="C46" i="4"/>
  <c r="D46" i="4"/>
  <c r="C83" i="4"/>
  <c r="D83" i="4"/>
  <c r="C105" i="4"/>
  <c r="D105" i="4"/>
  <c r="C62" i="4"/>
  <c r="D62" i="4"/>
  <c r="C144" i="4"/>
  <c r="D144" i="4"/>
  <c r="C126" i="4"/>
  <c r="D126" i="4"/>
  <c r="C121" i="4"/>
  <c r="D121" i="4"/>
  <c r="C24" i="4"/>
  <c r="D24" i="4"/>
  <c r="C60" i="4"/>
  <c r="D60" i="4"/>
  <c r="C41" i="4"/>
  <c r="D41" i="4"/>
  <c r="C76" i="4"/>
  <c r="D76" i="4"/>
  <c r="C55" i="4"/>
  <c r="D55" i="4"/>
  <c r="C39" i="4"/>
  <c r="D39" i="4"/>
  <c r="C139" i="4"/>
  <c r="D139" i="4"/>
  <c r="C103" i="4"/>
  <c r="D103" i="4"/>
  <c r="C17" i="4"/>
  <c r="D17" i="4"/>
  <c r="C34" i="4"/>
  <c r="D34" i="4"/>
  <c r="C149" i="4"/>
  <c r="D149" i="4"/>
  <c r="C19" i="4"/>
  <c r="D19" i="4"/>
  <c r="C128" i="4"/>
  <c r="D128" i="4"/>
  <c r="C88" i="4"/>
  <c r="D88" i="4"/>
  <c r="C110" i="4"/>
  <c r="D110" i="4"/>
  <c r="C12" i="4"/>
  <c r="D12" i="4"/>
  <c r="C81" i="4"/>
  <c r="C71" i="4" s="1"/>
  <c r="D81" i="4"/>
  <c r="C142" i="4"/>
  <c r="D142" i="4"/>
  <c r="C98" i="4"/>
  <c r="D98" i="4"/>
  <c r="D133" i="4"/>
  <c r="D117" i="4"/>
  <c r="D94" i="4"/>
  <c r="C259" i="4"/>
  <c r="C359" i="4"/>
  <c r="N303" i="4"/>
  <c r="K398" i="4"/>
  <c r="K397" i="4" s="1"/>
  <c r="G398" i="4"/>
  <c r="G397" i="4" s="1"/>
  <c r="N410" i="4"/>
  <c r="N433" i="4"/>
  <c r="N425" i="4"/>
  <c r="E263" i="4"/>
  <c r="N263" i="4" s="1"/>
  <c r="N387" i="4"/>
  <c r="N390" i="4"/>
  <c r="N233" i="4"/>
  <c r="E229" i="4"/>
  <c r="E228" i="4" s="1"/>
  <c r="E227" i="4" s="1"/>
  <c r="F262" i="4"/>
  <c r="F260" i="4" s="1"/>
  <c r="F259" i="4" s="1"/>
  <c r="N401" i="4"/>
  <c r="M378" i="4"/>
  <c r="L398" i="4"/>
  <c r="L397" i="4" s="1"/>
  <c r="E436" i="4"/>
  <c r="E418" i="4" s="1"/>
  <c r="N437" i="4"/>
  <c r="C379" i="4"/>
  <c r="C378" i="4" s="1"/>
  <c r="C377" i="4" s="1"/>
  <c r="F380" i="4"/>
  <c r="F379" i="4" s="1"/>
  <c r="F378" i="4" s="1"/>
  <c r="F377" i="4" s="1"/>
  <c r="E374" i="4"/>
  <c r="N375" i="4"/>
  <c r="N300" i="4"/>
  <c r="E296" i="4"/>
  <c r="N296" i="4" s="1"/>
  <c r="H398" i="4"/>
  <c r="H397" i="4" s="1"/>
  <c r="M398" i="4"/>
  <c r="E393" i="4"/>
  <c r="N394" i="4"/>
  <c r="E361" i="4"/>
  <c r="N362" i="4"/>
  <c r="M226" i="4"/>
  <c r="M225" i="4" s="1"/>
  <c r="I261" i="4"/>
  <c r="I224" i="4" s="1"/>
  <c r="I205" i="4" s="1"/>
  <c r="L261" i="4"/>
  <c r="J261" i="4"/>
  <c r="J224" i="4" s="1"/>
  <c r="J205" i="4" s="1"/>
  <c r="H261" i="4"/>
  <c r="K261" i="4"/>
  <c r="G261" i="4"/>
  <c r="F419" i="4"/>
  <c r="F418" i="4" s="1"/>
  <c r="F398" i="4" s="1"/>
  <c r="F397" i="4" s="1"/>
  <c r="H28" i="4"/>
  <c r="G92" i="4"/>
  <c r="G91" i="4" s="1"/>
  <c r="G70" i="4"/>
  <c r="H131" i="4"/>
  <c r="H114" i="4" s="1"/>
  <c r="F93" i="4"/>
  <c r="F92" i="4" s="1"/>
  <c r="F91" i="4" s="1"/>
  <c r="I114" i="4"/>
  <c r="L70" i="4"/>
  <c r="I28" i="4"/>
  <c r="L92" i="4"/>
  <c r="L91" i="4" s="1"/>
  <c r="N49" i="4"/>
  <c r="K28" i="4"/>
  <c r="H70" i="4"/>
  <c r="J131" i="4"/>
  <c r="J114" i="4" s="1"/>
  <c r="M98" i="4"/>
  <c r="M93" i="4" s="1"/>
  <c r="I70" i="4"/>
  <c r="M21" i="4"/>
  <c r="M107" i="4"/>
  <c r="G131" i="4"/>
  <c r="G114" i="4" s="1"/>
  <c r="G28" i="4"/>
  <c r="E50" i="4"/>
  <c r="M43" i="4"/>
  <c r="E7" i="4"/>
  <c r="K131" i="4"/>
  <c r="K114" i="4" s="1"/>
  <c r="J70" i="4"/>
  <c r="M50" i="4"/>
  <c r="J92" i="4"/>
  <c r="J91" i="4" s="1"/>
  <c r="L49" i="4"/>
  <c r="H49" i="4"/>
  <c r="E93" i="4"/>
  <c r="L131" i="4"/>
  <c r="L114" i="4" s="1"/>
  <c r="K92" i="4"/>
  <c r="K91" i="4" s="1"/>
  <c r="M116" i="4"/>
  <c r="M115" i="4" s="1"/>
  <c r="M71" i="4"/>
  <c r="K70" i="4"/>
  <c r="N92" i="4"/>
  <c r="N91" i="4" s="1"/>
  <c r="M85" i="4"/>
  <c r="E29" i="4"/>
  <c r="J28" i="4"/>
  <c r="E71" i="4"/>
  <c r="M132" i="4"/>
  <c r="E116" i="4"/>
  <c r="E115" i="4" s="1"/>
  <c r="E21" i="4"/>
  <c r="M146" i="4"/>
  <c r="M7" i="4"/>
  <c r="M64" i="4"/>
  <c r="E43" i="4"/>
  <c r="K49" i="4"/>
  <c r="N70" i="4"/>
  <c r="N29" i="4"/>
  <c r="N28" i="4" s="1"/>
  <c r="M34" i="4"/>
  <c r="M29" i="4" s="1"/>
  <c r="N132" i="4"/>
  <c r="N131" i="4" s="1"/>
  <c r="N114" i="4" s="1"/>
  <c r="I92" i="4"/>
  <c r="I91" i="4" s="1"/>
  <c r="E64" i="4"/>
  <c r="E107" i="4"/>
  <c r="J49" i="4"/>
  <c r="E146" i="4"/>
  <c r="E137" i="4"/>
  <c r="D137" i="4" s="1"/>
  <c r="F132" i="4"/>
  <c r="F131" i="4" s="1"/>
  <c r="F114" i="4" s="1"/>
  <c r="F49" i="4"/>
  <c r="F29" i="4"/>
  <c r="F28" i="4" s="1"/>
  <c r="E85" i="4"/>
  <c r="F70" i="4"/>
  <c r="G102" i="1"/>
  <c r="H102" i="1"/>
  <c r="I102" i="1"/>
  <c r="J102" i="1"/>
  <c r="L102" i="1"/>
  <c r="M102" i="1"/>
  <c r="N101" i="1"/>
  <c r="N103" i="1"/>
  <c r="F103" i="1" s="1"/>
  <c r="T103" i="1" s="1"/>
  <c r="N99" i="1"/>
  <c r="F101" i="1"/>
  <c r="T101" i="1" s="1"/>
  <c r="D87" i="1"/>
  <c r="D75" i="1"/>
  <c r="D66" i="1"/>
  <c r="D60" i="1"/>
  <c r="D55" i="1"/>
  <c r="D51" i="1"/>
  <c r="D49" i="1"/>
  <c r="D45" i="1"/>
  <c r="D96" i="1"/>
  <c r="D37" i="1"/>
  <c r="D14" i="1"/>
  <c r="C96" i="1"/>
  <c r="E87" i="1"/>
  <c r="D95" i="1"/>
  <c r="E66" i="1"/>
  <c r="E75" i="1"/>
  <c r="E60" i="1"/>
  <c r="E55" i="1"/>
  <c r="E51" i="1"/>
  <c r="E49" i="1"/>
  <c r="E45" i="1"/>
  <c r="E96" i="1"/>
  <c r="E95" i="1" s="1"/>
  <c r="E37" i="1"/>
  <c r="E14" i="1"/>
  <c r="J66" i="1"/>
  <c r="G104" i="1"/>
  <c r="J80" i="1"/>
  <c r="J37" i="1"/>
  <c r="K102" i="1"/>
  <c r="G99" i="1"/>
  <c r="G88" i="1"/>
  <c r="G64" i="1"/>
  <c r="G61" i="1"/>
  <c r="G58" i="1"/>
  <c r="G56" i="1"/>
  <c r="G16" i="1"/>
  <c r="G15" i="1"/>
  <c r="G37" i="1"/>
  <c r="G34" i="1"/>
  <c r="G80" i="1"/>
  <c r="G73" i="1"/>
  <c r="G71" i="1"/>
  <c r="G70" i="1"/>
  <c r="G68" i="1"/>
  <c r="G62" i="1"/>
  <c r="G57" i="1"/>
  <c r="G52" i="1"/>
  <c r="G50" i="1"/>
  <c r="G48" i="1"/>
  <c r="G46" i="1"/>
  <c r="G76" i="1"/>
  <c r="G74" i="1"/>
  <c r="G67" i="1"/>
  <c r="G79" i="1"/>
  <c r="N69" i="1"/>
  <c r="F69" i="1" s="1"/>
  <c r="T69" i="1" s="1"/>
  <c r="N70" i="1"/>
  <c r="N71" i="1"/>
  <c r="N72" i="1"/>
  <c r="F72" i="1" s="1"/>
  <c r="T72" i="1" s="1"/>
  <c r="C107" i="4" l="1"/>
  <c r="D107" i="4"/>
  <c r="C43" i="4"/>
  <c r="D43" i="4"/>
  <c r="C21" i="4"/>
  <c r="D21" i="4"/>
  <c r="C64" i="4"/>
  <c r="D64" i="4"/>
  <c r="C50" i="4"/>
  <c r="C49" i="4" s="1"/>
  <c r="D359" i="4"/>
  <c r="D224" i="4" s="1"/>
  <c r="D259" i="4"/>
  <c r="C85" i="4"/>
  <c r="C70" i="4" s="1"/>
  <c r="D85" i="4"/>
  <c r="C146" i="4"/>
  <c r="D146" i="4"/>
  <c r="C93" i="4"/>
  <c r="C116" i="4"/>
  <c r="C115" i="4" s="1"/>
  <c r="D7" i="4"/>
  <c r="D6" i="4" s="1"/>
  <c r="D5" i="4" s="1"/>
  <c r="D71" i="4"/>
  <c r="D70" i="4" s="1"/>
  <c r="D29" i="4"/>
  <c r="D28" i="4" s="1"/>
  <c r="C7" i="4"/>
  <c r="C29" i="4"/>
  <c r="D50" i="4"/>
  <c r="D49" i="4" s="1"/>
  <c r="D93" i="4"/>
  <c r="D92" i="4" s="1"/>
  <c r="D91" i="4" s="1"/>
  <c r="D116" i="4"/>
  <c r="D115" i="4" s="1"/>
  <c r="D132" i="4"/>
  <c r="N102" i="1"/>
  <c r="F102" i="1" s="1"/>
  <c r="T102" i="1" s="1"/>
  <c r="E226" i="4"/>
  <c r="E225" i="4" s="1"/>
  <c r="E262" i="4"/>
  <c r="N262" i="4" s="1"/>
  <c r="L224" i="4"/>
  <c r="L205" i="4" s="1"/>
  <c r="G224" i="4"/>
  <c r="G205" i="4" s="1"/>
  <c r="K224" i="4"/>
  <c r="K205" i="4" s="1"/>
  <c r="H224" i="4"/>
  <c r="H205" i="4" s="1"/>
  <c r="C418" i="4"/>
  <c r="C6" i="4"/>
  <c r="C5" i="4" s="1"/>
  <c r="E132" i="4"/>
  <c r="E131" i="4" s="1"/>
  <c r="E114" i="4" s="1"/>
  <c r="C137" i="4"/>
  <c r="C132" i="4" s="1"/>
  <c r="N393" i="4"/>
  <c r="M397" i="4"/>
  <c r="E373" i="4"/>
  <c r="N374" i="4"/>
  <c r="E399" i="4"/>
  <c r="N400" i="4"/>
  <c r="E360" i="4"/>
  <c r="E259" i="4" s="1"/>
  <c r="N361" i="4"/>
  <c r="N436" i="4"/>
  <c r="N419" i="4"/>
  <c r="N420" i="4"/>
  <c r="N229" i="4"/>
  <c r="E380" i="4"/>
  <c r="N380" i="4" s="1"/>
  <c r="N381" i="4"/>
  <c r="M377" i="4"/>
  <c r="F261" i="4"/>
  <c r="F224" i="4" s="1"/>
  <c r="F205" i="4" s="1"/>
  <c r="G27" i="4"/>
  <c r="G4" i="4" s="1"/>
  <c r="I27" i="4"/>
  <c r="I4" i="4" s="1"/>
  <c r="L27" i="4"/>
  <c r="L4" i="4" s="1"/>
  <c r="M28" i="4"/>
  <c r="E92" i="4"/>
  <c r="E91" i="4" s="1"/>
  <c r="M6" i="4"/>
  <c r="M5" i="4" s="1"/>
  <c r="H27" i="4"/>
  <c r="H4" i="4" s="1"/>
  <c r="E28" i="4"/>
  <c r="E49" i="4"/>
  <c r="K27" i="4"/>
  <c r="K4" i="4" s="1"/>
  <c r="E6" i="4"/>
  <c r="E5" i="4" s="1"/>
  <c r="M49" i="4"/>
  <c r="M70" i="4"/>
  <c r="M92" i="4"/>
  <c r="M91" i="4" s="1"/>
  <c r="J27" i="4"/>
  <c r="J4" i="4" s="1"/>
  <c r="M131" i="4"/>
  <c r="M114" i="4" s="1"/>
  <c r="E70" i="4"/>
  <c r="N27" i="4"/>
  <c r="N4" i="4" s="1"/>
  <c r="F27" i="4"/>
  <c r="F4" i="4" s="1"/>
  <c r="G66" i="1"/>
  <c r="C131" i="4" l="1"/>
  <c r="D27" i="4"/>
  <c r="C92" i="4"/>
  <c r="C91" i="4" s="1"/>
  <c r="M224" i="4"/>
  <c r="E397" i="4"/>
  <c r="D131" i="4"/>
  <c r="D114" i="4" s="1"/>
  <c r="C28" i="4"/>
  <c r="C27" i="4" s="1"/>
  <c r="C114" i="4"/>
  <c r="E260" i="4"/>
  <c r="E261" i="4"/>
  <c r="N261" i="4" s="1"/>
  <c r="C398" i="4"/>
  <c r="C397" i="4" s="1"/>
  <c r="C224" i="4" s="1"/>
  <c r="N418" i="4"/>
  <c r="N417" i="4" s="1"/>
  <c r="E359" i="4"/>
  <c r="N360" i="4"/>
  <c r="E372" i="4"/>
  <c r="N372" i="4" s="1"/>
  <c r="N373" i="4"/>
  <c r="N228" i="4"/>
  <c r="N399" i="4"/>
  <c r="E379" i="4"/>
  <c r="M27" i="4"/>
  <c r="M4" i="4" s="1"/>
  <c r="E27" i="4"/>
  <c r="E4" i="4" s="1"/>
  <c r="C4" i="4" l="1"/>
  <c r="D4" i="4"/>
  <c r="N260" i="4"/>
  <c r="N259" i="4"/>
  <c r="N359" i="4"/>
  <c r="N398" i="4"/>
  <c r="E378" i="4"/>
  <c r="N379" i="4"/>
  <c r="N227" i="4"/>
  <c r="N397" i="4" l="1"/>
  <c r="N225" i="4"/>
  <c r="N226" i="4"/>
  <c r="E377" i="4"/>
  <c r="E224" i="4" s="1"/>
  <c r="N378" i="4"/>
  <c r="B16" i="2"/>
  <c r="B19" i="2"/>
  <c r="B26" i="2" s="1"/>
  <c r="G60" i="1"/>
  <c r="G55" i="1"/>
  <c r="H96" i="1"/>
  <c r="I96" i="1"/>
  <c r="J96" i="1"/>
  <c r="K96" i="1"/>
  <c r="L96" i="1"/>
  <c r="M96" i="1"/>
  <c r="G96" i="1"/>
  <c r="N98" i="1"/>
  <c r="F98" i="1" s="1"/>
  <c r="T98" i="1" s="1"/>
  <c r="E81" i="1"/>
  <c r="C45" i="1"/>
  <c r="C104" i="1"/>
  <c r="C93" i="1"/>
  <c r="C90" i="1" s="1"/>
  <c r="C87" i="1"/>
  <c r="C86" i="1" s="1"/>
  <c r="C82" i="1"/>
  <c r="C81" i="1" s="1"/>
  <c r="C75" i="1"/>
  <c r="C66" i="1"/>
  <c r="C60" i="1"/>
  <c r="C55" i="1"/>
  <c r="C51" i="1"/>
  <c r="C49" i="1"/>
  <c r="C33" i="1"/>
  <c r="C32" i="1" s="1"/>
  <c r="C29" i="1"/>
  <c r="C26" i="1"/>
  <c r="C23" i="1"/>
  <c r="C22" i="1" s="1"/>
  <c r="C20" i="1"/>
  <c r="C19" i="1" s="1"/>
  <c r="C17" i="1"/>
  <c r="C12" i="1"/>
  <c r="C14" i="1"/>
  <c r="N377" i="4" l="1"/>
  <c r="C25" i="1"/>
  <c r="C54" i="1"/>
  <c r="C44" i="1"/>
  <c r="C11" i="1"/>
  <c r="M15" i="2"/>
  <c r="M14" i="2"/>
  <c r="M17" i="2"/>
  <c r="M18" i="2"/>
  <c r="M21" i="2"/>
  <c r="M23" i="2"/>
  <c r="M24" i="2"/>
  <c r="M25" i="2"/>
  <c r="C16" i="2"/>
  <c r="C13" i="2"/>
  <c r="N224" i="4" l="1"/>
  <c r="C10" i="1"/>
  <c r="C38" i="1" s="1"/>
  <c r="C43" i="1"/>
  <c r="F100" i="1"/>
  <c r="T100" i="1" s="1"/>
  <c r="G17" i="1" l="1"/>
  <c r="G100" i="1"/>
  <c r="G95" i="1" s="1"/>
  <c r="H100" i="1"/>
  <c r="I100" i="1"/>
  <c r="I95" i="1" s="1"/>
  <c r="J100" i="1"/>
  <c r="J95" i="1" s="1"/>
  <c r="K100" i="1"/>
  <c r="K95" i="1" s="1"/>
  <c r="L100" i="1"/>
  <c r="L95" i="1" s="1"/>
  <c r="M100" i="1"/>
  <c r="M95" i="1" s="1"/>
  <c r="C100" i="1"/>
  <c r="N100" i="1" l="1"/>
  <c r="H95" i="1"/>
  <c r="C95" i="1"/>
  <c r="C89" i="1" s="1"/>
  <c r="C106" i="1" s="1"/>
  <c r="C107" i="1" s="1"/>
  <c r="E90" i="1"/>
  <c r="E54" i="1"/>
  <c r="D54" i="1"/>
  <c r="E11" i="1"/>
  <c r="D25" i="1"/>
  <c r="D11" i="1"/>
  <c r="N105" i="1"/>
  <c r="F105" i="1" s="1"/>
  <c r="T105" i="1" s="1"/>
  <c r="E104" i="1"/>
  <c r="N104" i="1"/>
  <c r="F104" i="1" s="1"/>
  <c r="T104" i="1" s="1"/>
  <c r="F99" i="1"/>
  <c r="T99" i="1" s="1"/>
  <c r="N97" i="1"/>
  <c r="F97" i="1" s="1"/>
  <c r="T97" i="1" s="1"/>
  <c r="D89" i="1"/>
  <c r="N94" i="1"/>
  <c r="F94" i="1" s="1"/>
  <c r="T94" i="1" s="1"/>
  <c r="M93" i="1"/>
  <c r="M90" i="1" s="1"/>
  <c r="M89" i="1" s="1"/>
  <c r="L93" i="1"/>
  <c r="L90" i="1" s="1"/>
  <c r="L89" i="1" s="1"/>
  <c r="K93" i="1"/>
  <c r="K90" i="1" s="1"/>
  <c r="K89" i="1" s="1"/>
  <c r="J93" i="1"/>
  <c r="J90" i="1" s="1"/>
  <c r="J89" i="1" s="1"/>
  <c r="I93" i="1"/>
  <c r="I90" i="1" s="1"/>
  <c r="I89" i="1" s="1"/>
  <c r="H93" i="1"/>
  <c r="G93" i="1"/>
  <c r="N88" i="1"/>
  <c r="F88" i="1" s="1"/>
  <c r="T88" i="1" s="1"/>
  <c r="M87" i="1"/>
  <c r="M86" i="1" s="1"/>
  <c r="L87" i="1"/>
  <c r="L86" i="1" s="1"/>
  <c r="K87" i="1"/>
  <c r="K86" i="1" s="1"/>
  <c r="J87" i="1"/>
  <c r="J86" i="1" s="1"/>
  <c r="I87" i="1"/>
  <c r="I86" i="1" s="1"/>
  <c r="H87" i="1"/>
  <c r="H86" i="1" s="1"/>
  <c r="G87" i="1"/>
  <c r="E86" i="1"/>
  <c r="D86" i="1"/>
  <c r="N85" i="1"/>
  <c r="F85" i="1" s="1"/>
  <c r="T85" i="1" s="1"/>
  <c r="N83" i="1"/>
  <c r="F83" i="1" s="1"/>
  <c r="T83" i="1" s="1"/>
  <c r="M82" i="1"/>
  <c r="M81" i="1" s="1"/>
  <c r="L82" i="1"/>
  <c r="L81" i="1" s="1"/>
  <c r="K82" i="1"/>
  <c r="K81" i="1" s="1"/>
  <c r="J82" i="1"/>
  <c r="J81" i="1" s="1"/>
  <c r="I82" i="1"/>
  <c r="I81" i="1" s="1"/>
  <c r="H82" i="1"/>
  <c r="G82" i="1"/>
  <c r="D81" i="1"/>
  <c r="N80" i="1"/>
  <c r="N79" i="1"/>
  <c r="F79" i="1" s="1"/>
  <c r="T79" i="1" s="1"/>
  <c r="N78" i="1"/>
  <c r="F78" i="1" s="1"/>
  <c r="T78" i="1" s="1"/>
  <c r="N77" i="1"/>
  <c r="F77" i="1" s="1"/>
  <c r="T77" i="1" s="1"/>
  <c r="N76" i="1"/>
  <c r="F76" i="1" s="1"/>
  <c r="T76" i="1" s="1"/>
  <c r="M75" i="1"/>
  <c r="L75" i="1"/>
  <c r="K75" i="1"/>
  <c r="I75" i="1"/>
  <c r="H75" i="1"/>
  <c r="G75" i="1"/>
  <c r="G54" i="1" s="1"/>
  <c r="N74" i="1"/>
  <c r="F74" i="1" s="1"/>
  <c r="T74" i="1" s="1"/>
  <c r="N73" i="1"/>
  <c r="F73" i="1" s="1"/>
  <c r="T73" i="1" s="1"/>
  <c r="F71" i="1"/>
  <c r="T71" i="1" s="1"/>
  <c r="F70" i="1"/>
  <c r="T70" i="1" s="1"/>
  <c r="N68" i="1"/>
  <c r="F68" i="1" s="1"/>
  <c r="T68" i="1" s="1"/>
  <c r="N67" i="1"/>
  <c r="M66" i="1"/>
  <c r="L66" i="1"/>
  <c r="K66" i="1"/>
  <c r="I66" i="1"/>
  <c r="H66" i="1"/>
  <c r="N65" i="1"/>
  <c r="F65" i="1" s="1"/>
  <c r="T65" i="1" s="1"/>
  <c r="N64" i="1"/>
  <c r="F64" i="1" s="1"/>
  <c r="T64" i="1" s="1"/>
  <c r="N63" i="1"/>
  <c r="F63" i="1" s="1"/>
  <c r="T63" i="1" s="1"/>
  <c r="N62" i="1"/>
  <c r="N61" i="1"/>
  <c r="M60" i="1"/>
  <c r="L60" i="1"/>
  <c r="K60" i="1"/>
  <c r="J60" i="1"/>
  <c r="I60" i="1"/>
  <c r="H60" i="1"/>
  <c r="N59" i="1"/>
  <c r="F59" i="1" s="1"/>
  <c r="T59" i="1" s="1"/>
  <c r="N58" i="1"/>
  <c r="N57" i="1"/>
  <c r="N56" i="1"/>
  <c r="F56" i="1" s="1"/>
  <c r="T56" i="1" s="1"/>
  <c r="M55" i="1"/>
  <c r="L55" i="1"/>
  <c r="K55" i="1"/>
  <c r="J55" i="1"/>
  <c r="I55" i="1"/>
  <c r="H55" i="1"/>
  <c r="N53" i="1"/>
  <c r="G51" i="1"/>
  <c r="N52" i="1"/>
  <c r="F52" i="1" s="1"/>
  <c r="T52" i="1" s="1"/>
  <c r="M51" i="1"/>
  <c r="L51" i="1"/>
  <c r="K51" i="1"/>
  <c r="J51" i="1"/>
  <c r="I51" i="1"/>
  <c r="H51" i="1"/>
  <c r="N50" i="1"/>
  <c r="M49" i="1"/>
  <c r="L49" i="1"/>
  <c r="K49" i="1"/>
  <c r="J49" i="1"/>
  <c r="I49" i="1"/>
  <c r="H49" i="1"/>
  <c r="N48" i="1"/>
  <c r="F48" i="1" s="1"/>
  <c r="T48" i="1" s="1"/>
  <c r="N47" i="1"/>
  <c r="F47" i="1" s="1"/>
  <c r="T47" i="1" s="1"/>
  <c r="N46" i="1"/>
  <c r="F46" i="1" s="1"/>
  <c r="T46" i="1" s="1"/>
  <c r="M45" i="1"/>
  <c r="L45" i="1"/>
  <c r="K45" i="1"/>
  <c r="J45" i="1"/>
  <c r="I45" i="1"/>
  <c r="H45" i="1"/>
  <c r="G45" i="1"/>
  <c r="D44" i="1"/>
  <c r="N37" i="1"/>
  <c r="F37" i="1" s="1"/>
  <c r="T37" i="1" s="1"/>
  <c r="N36" i="1"/>
  <c r="F36" i="1" s="1"/>
  <c r="T36" i="1" s="1"/>
  <c r="N35" i="1"/>
  <c r="G33" i="1"/>
  <c r="N34" i="1"/>
  <c r="F34" i="1" s="1"/>
  <c r="T34" i="1" s="1"/>
  <c r="N33" i="1"/>
  <c r="M32" i="1"/>
  <c r="L32" i="1"/>
  <c r="K32" i="1"/>
  <c r="J32" i="1"/>
  <c r="I32" i="1"/>
  <c r="H32" i="1"/>
  <c r="D32" i="1"/>
  <c r="N30" i="1"/>
  <c r="F30" i="1" s="1"/>
  <c r="T30" i="1" s="1"/>
  <c r="M29" i="1"/>
  <c r="L29" i="1"/>
  <c r="K29" i="1"/>
  <c r="J29" i="1"/>
  <c r="I29" i="1"/>
  <c r="H29" i="1"/>
  <c r="G29" i="1"/>
  <c r="N28" i="1"/>
  <c r="F28" i="1" s="1"/>
  <c r="T28" i="1" s="1"/>
  <c r="J26" i="1"/>
  <c r="M26" i="1"/>
  <c r="L26" i="1"/>
  <c r="K26" i="1"/>
  <c r="I26" i="1"/>
  <c r="I25" i="1" s="1"/>
  <c r="H26" i="1"/>
  <c r="H25" i="1" s="1"/>
  <c r="G26" i="1"/>
  <c r="G25" i="1" s="1"/>
  <c r="N24" i="1"/>
  <c r="F24" i="1" s="1"/>
  <c r="T24" i="1" s="1"/>
  <c r="J23" i="1"/>
  <c r="J22" i="1" s="1"/>
  <c r="I23" i="1"/>
  <c r="I22" i="1" s="1"/>
  <c r="M22" i="1"/>
  <c r="L22" i="1"/>
  <c r="K22" i="1"/>
  <c r="H22" i="1"/>
  <c r="G22" i="1"/>
  <c r="E22" i="1"/>
  <c r="D22" i="1"/>
  <c r="N21" i="1"/>
  <c r="F21" i="1" s="1"/>
  <c r="T21" i="1" s="1"/>
  <c r="J20" i="1"/>
  <c r="N20" i="1" s="1"/>
  <c r="F20" i="1" s="1"/>
  <c r="T20" i="1" s="1"/>
  <c r="N18" i="1"/>
  <c r="F18" i="1" s="1"/>
  <c r="T18" i="1" s="1"/>
  <c r="H17" i="1"/>
  <c r="N17" i="1" s="1"/>
  <c r="F17" i="1" s="1"/>
  <c r="T17" i="1" s="1"/>
  <c r="N16" i="1"/>
  <c r="F16" i="1" s="1"/>
  <c r="T16" i="1" s="1"/>
  <c r="N15" i="1"/>
  <c r="M14" i="1"/>
  <c r="M11" i="1" s="1"/>
  <c r="L14" i="1"/>
  <c r="L11" i="1" s="1"/>
  <c r="K14" i="1"/>
  <c r="K11" i="1" s="1"/>
  <c r="J14" i="1"/>
  <c r="J11" i="1" s="1"/>
  <c r="I14" i="1"/>
  <c r="I11" i="1" s="1"/>
  <c r="H14" i="1"/>
  <c r="N13" i="1"/>
  <c r="F13" i="1" s="1"/>
  <c r="T13" i="1" s="1"/>
  <c r="H12" i="1"/>
  <c r="N12" i="1" s="1"/>
  <c r="F12" i="1" s="1"/>
  <c r="T12" i="1" s="1"/>
  <c r="E89" i="1" l="1"/>
  <c r="J44" i="1"/>
  <c r="I54" i="1"/>
  <c r="J25" i="1"/>
  <c r="K44" i="1"/>
  <c r="K54" i="1"/>
  <c r="H44" i="1"/>
  <c r="L44" i="1"/>
  <c r="I44" i="1"/>
  <c r="M44" i="1"/>
  <c r="H54" i="1"/>
  <c r="L54" i="1"/>
  <c r="M54" i="1"/>
  <c r="N96" i="1"/>
  <c r="G90" i="1"/>
  <c r="G89" i="1" s="1"/>
  <c r="G81" i="1"/>
  <c r="D10" i="1"/>
  <c r="D38" i="1" s="1"/>
  <c r="M25" i="1"/>
  <c r="M10" i="1" s="1"/>
  <c r="M38" i="1" s="1"/>
  <c r="D43" i="1"/>
  <c r="D106" i="1" s="1"/>
  <c r="H11" i="1"/>
  <c r="N11" i="1" s="1"/>
  <c r="L25" i="1"/>
  <c r="L10" i="1" s="1"/>
  <c r="L38" i="1" s="1"/>
  <c r="H13" i="2"/>
  <c r="J19" i="1"/>
  <c r="N19" i="1" s="1"/>
  <c r="F19" i="1" s="1"/>
  <c r="T19" i="1" s="1"/>
  <c r="K25" i="1"/>
  <c r="K10" i="1" s="1"/>
  <c r="K38" i="1" s="1"/>
  <c r="N93" i="1"/>
  <c r="F93" i="1" s="1"/>
  <c r="T93" i="1" s="1"/>
  <c r="N95" i="1"/>
  <c r="N66" i="1"/>
  <c r="F66" i="1" s="1"/>
  <c r="T66" i="1" s="1"/>
  <c r="F15" i="1"/>
  <c r="T15" i="1" s="1"/>
  <c r="N14" i="1"/>
  <c r="F35" i="1"/>
  <c r="T35" i="1" s="1"/>
  <c r="E44" i="1"/>
  <c r="E43" i="1" s="1"/>
  <c r="F53" i="1"/>
  <c r="T53" i="1" s="1"/>
  <c r="F80" i="1"/>
  <c r="T80" i="1" s="1"/>
  <c r="N23" i="1"/>
  <c r="F23" i="1" s="1"/>
  <c r="T23" i="1" s="1"/>
  <c r="N22" i="1"/>
  <c r="F22" i="1" s="1"/>
  <c r="T22" i="1" s="1"/>
  <c r="N29" i="1"/>
  <c r="F29" i="1" s="1"/>
  <c r="T29" i="1" s="1"/>
  <c r="N32" i="1"/>
  <c r="F57" i="1"/>
  <c r="T57" i="1" s="1"/>
  <c r="N60" i="1"/>
  <c r="F62" i="1"/>
  <c r="T62" i="1" s="1"/>
  <c r="N87" i="1"/>
  <c r="F87" i="1" s="1"/>
  <c r="T87" i="1" s="1"/>
  <c r="N86" i="1"/>
  <c r="J13" i="2"/>
  <c r="C19" i="2"/>
  <c r="C26" i="2" s="1"/>
  <c r="D16" i="2"/>
  <c r="N55" i="1"/>
  <c r="F61" i="1"/>
  <c r="T61" i="1" s="1"/>
  <c r="I10" i="1"/>
  <c r="I38" i="1" s="1"/>
  <c r="F50" i="1"/>
  <c r="T50" i="1" s="1"/>
  <c r="G49" i="1"/>
  <c r="G44" i="1" s="1"/>
  <c r="N51" i="1"/>
  <c r="F51" i="1" s="1"/>
  <c r="T51" i="1" s="1"/>
  <c r="G86" i="1"/>
  <c r="N45" i="1"/>
  <c r="G32" i="1"/>
  <c r="F33" i="1"/>
  <c r="T33" i="1" s="1"/>
  <c r="E25" i="1"/>
  <c r="N27" i="1"/>
  <c r="F27" i="1" s="1"/>
  <c r="T27" i="1" s="1"/>
  <c r="N26" i="1"/>
  <c r="F26" i="1" s="1"/>
  <c r="T26" i="1" s="1"/>
  <c r="E32" i="1"/>
  <c r="N49" i="1"/>
  <c r="F58" i="1"/>
  <c r="T58" i="1" s="1"/>
  <c r="F67" i="1"/>
  <c r="T67" i="1" s="1"/>
  <c r="J75" i="1"/>
  <c r="J54" i="1" s="1"/>
  <c r="N82" i="1"/>
  <c r="F82" i="1" s="1"/>
  <c r="T82" i="1" s="1"/>
  <c r="H81" i="1"/>
  <c r="N81" i="1" s="1"/>
  <c r="G14" i="1"/>
  <c r="G11" i="1" s="1"/>
  <c r="H90" i="1"/>
  <c r="H89" i="1" s="1"/>
  <c r="F95" i="1" l="1"/>
  <c r="T95" i="1" s="1"/>
  <c r="E106" i="1"/>
  <c r="D107" i="1"/>
  <c r="F81" i="1"/>
  <c r="T81" i="1" s="1"/>
  <c r="G43" i="1"/>
  <c r="F45" i="1"/>
  <c r="T45" i="1" s="1"/>
  <c r="N44" i="1"/>
  <c r="F44" i="1" s="1"/>
  <c r="T44" i="1" s="1"/>
  <c r="F32" i="1"/>
  <c r="T32" i="1" s="1"/>
  <c r="K43" i="1"/>
  <c r="K106" i="1" s="1"/>
  <c r="K107" i="1" s="1"/>
  <c r="H10" i="1"/>
  <c r="H38" i="1" s="1"/>
  <c r="G10" i="1"/>
  <c r="L43" i="1"/>
  <c r="L106" i="1" s="1"/>
  <c r="L107" i="1" s="1"/>
  <c r="I43" i="1"/>
  <c r="I106" i="1" s="1"/>
  <c r="I107" i="1" s="1"/>
  <c r="J10" i="1"/>
  <c r="J38" i="1" s="1"/>
  <c r="M43" i="1"/>
  <c r="M106" i="1" s="1"/>
  <c r="M107" i="1" s="1"/>
  <c r="N25" i="1"/>
  <c r="F25" i="1" s="1"/>
  <c r="T25" i="1" s="1"/>
  <c r="L16" i="2"/>
  <c r="K16" i="2"/>
  <c r="H16" i="2"/>
  <c r="H19" i="2" s="1"/>
  <c r="H26" i="2" s="1"/>
  <c r="J16" i="2"/>
  <c r="J19" i="2" s="1"/>
  <c r="J26" i="2" s="1"/>
  <c r="L13" i="2"/>
  <c r="L19" i="2" s="1"/>
  <c r="L26" i="2" s="1"/>
  <c r="I13" i="2"/>
  <c r="I16" i="2"/>
  <c r="F86" i="1"/>
  <c r="T86" i="1" s="1"/>
  <c r="F60" i="1"/>
  <c r="T60" i="1" s="1"/>
  <c r="E10" i="1"/>
  <c r="E38" i="1" s="1"/>
  <c r="K13" i="2"/>
  <c r="D13" i="2"/>
  <c r="F96" i="1"/>
  <c r="T96" i="1" s="1"/>
  <c r="F49" i="1"/>
  <c r="T49" i="1" s="1"/>
  <c r="F14" i="1"/>
  <c r="T14" i="1" s="1"/>
  <c r="N90" i="1"/>
  <c r="F90" i="1" s="1"/>
  <c r="T90" i="1" s="1"/>
  <c r="H43" i="1"/>
  <c r="F55" i="1"/>
  <c r="T55" i="1" s="1"/>
  <c r="N75" i="1"/>
  <c r="F75" i="1" s="1"/>
  <c r="T75" i="1" s="1"/>
  <c r="J43" i="1"/>
  <c r="J106" i="1" s="1"/>
  <c r="N89" i="1" l="1"/>
  <c r="F89" i="1"/>
  <c r="T89" i="1" s="1"/>
  <c r="D19" i="2"/>
  <c r="D26" i="2" s="1"/>
  <c r="E107" i="1"/>
  <c r="N54" i="1"/>
  <c r="F54" i="1" s="1"/>
  <c r="T54" i="1" s="1"/>
  <c r="J107" i="1"/>
  <c r="N10" i="1"/>
  <c r="N38" i="1" s="1"/>
  <c r="K19" i="2"/>
  <c r="K26" i="2" s="1"/>
  <c r="I19" i="2"/>
  <c r="I26" i="2" s="1"/>
  <c r="G13" i="2"/>
  <c r="M13" i="2" s="1"/>
  <c r="G16" i="2"/>
  <c r="M16" i="2" s="1"/>
  <c r="N43" i="1"/>
  <c r="H106" i="1"/>
  <c r="N106" i="1" s="1"/>
  <c r="F11" i="1"/>
  <c r="T11" i="1" s="1"/>
  <c r="N107" i="1" l="1"/>
  <c r="E13" i="2"/>
  <c r="N13" i="2" s="1"/>
  <c r="G19" i="2"/>
  <c r="E16" i="2"/>
  <c r="N16" i="2" s="1"/>
  <c r="F16" i="2"/>
  <c r="F13" i="2"/>
  <c r="F10" i="1"/>
  <c r="T10" i="1" s="1"/>
  <c r="G38" i="1"/>
  <c r="F43" i="1"/>
  <c r="T43" i="1" s="1"/>
  <c r="G106" i="1"/>
  <c r="H107" i="1"/>
  <c r="F38" i="1" l="1"/>
  <c r="T38" i="1" s="1"/>
  <c r="E19" i="2"/>
  <c r="F106" i="1"/>
  <c r="T106" i="1" s="1"/>
  <c r="G26" i="2"/>
  <c r="M26" i="2" s="1"/>
  <c r="M19" i="2"/>
  <c r="F19" i="2"/>
  <c r="F26" i="2" s="1"/>
  <c r="G107" i="1"/>
  <c r="N19" i="2" l="1"/>
  <c r="F107" i="1"/>
  <c r="T107" i="1" s="1"/>
</calcChain>
</file>

<file path=xl/comments1.xml><?xml version="1.0" encoding="utf-8"?>
<comments xmlns="http://schemas.openxmlformats.org/spreadsheetml/2006/main">
  <authors>
    <author>Autor</author>
  </authors>
  <commentList>
    <comment ref="A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program
</t>
        </r>
      </text>
    </commen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aktivnost
</t>
        </r>
      </text>
    </comment>
    <comment ref="A22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program
</t>
        </r>
      </text>
    </comment>
    <comment ref="A22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aktivnost
</t>
        </r>
      </text>
    </comment>
  </commentList>
</comments>
</file>

<file path=xl/sharedStrings.xml><?xml version="1.0" encoding="utf-8"?>
<sst xmlns="http://schemas.openxmlformats.org/spreadsheetml/2006/main" count="689" uniqueCount="220">
  <si>
    <t>CENTAR ZA ODGOJ I OBRAZOVANJE KRAPINSKE TOPLICE</t>
  </si>
  <si>
    <t>Ljudevita Gaja 2, Krapinske Toplice</t>
  </si>
  <si>
    <t>OIB: 98491896949</t>
  </si>
  <si>
    <t>OPĆI DIO</t>
  </si>
  <si>
    <t>RAČUN</t>
  </si>
  <si>
    <t>NAZIV RAČUNA</t>
  </si>
  <si>
    <t>1. OPĆI PRIHODI I PRIMICI</t>
  </si>
  <si>
    <t>2. POMOĆI</t>
  </si>
  <si>
    <t>3. PRIHODI ZA POS.NAMJ.</t>
  </si>
  <si>
    <t>4. VLASTITI PRIHODI</t>
  </si>
  <si>
    <t>5. DONACIJE</t>
  </si>
  <si>
    <t>6. PRIHODI OD PRODAJE NEF.IMOV.</t>
  </si>
  <si>
    <t>7. NAMJ.PRIM. OD ZADUŽIVANJA</t>
  </si>
  <si>
    <t>UKUPNO OSTALI IZVORI</t>
  </si>
  <si>
    <t>14(8do 13)</t>
  </si>
  <si>
    <t>PRIHODI POSLOVANJA</t>
  </si>
  <si>
    <t>Pomoći pror.kor. Iz proračuna koji im nije nadležan</t>
  </si>
  <si>
    <t>Tekuće pomoći HZMO; HZZ; HZZO</t>
  </si>
  <si>
    <t>Tekuće pomoći od izvanproračunskih korisnika</t>
  </si>
  <si>
    <t>Tekuće pomoći PK iz proračuna koji im nije nadležan</t>
  </si>
  <si>
    <t>Kapitalne pomoći PK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</si>
  <si>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</si>
  <si>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</si>
  <si>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</si>
  <si>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</si>
  <si>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</si>
  <si>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za posebne namjene</t>
  </si>
  <si>
    <t>Prihodi po posebnim propisima</t>
  </si>
  <si>
    <t>Ostali nespomenuti prihodi</t>
  </si>
  <si>
    <t>Prihodi od prodaje proizvoda i robe, pruženih usluga, donacija</t>
  </si>
  <si>
    <t>Prihodi od prodaje proizvoda i robe, pruženih usluga</t>
  </si>
  <si>
    <t>Prihodi od prodaje proizvoda i robe</t>
  </si>
  <si>
    <t>Prihodi od pruženih usluga</t>
  </si>
  <si>
    <t>Donacije od pravnih i fizičkih osoba izvan opće države</t>
  </si>
  <si>
    <t>Tekuće donacije</t>
  </si>
  <si>
    <t>Prihodi iz proračuna</t>
  </si>
  <si>
    <t>Prihodi iz proračuna za financiranje redovne djelatnosti PK</t>
  </si>
  <si>
    <t>Prihodi iz proračuna za financiranje rashoda za nabavu nefin.imovine</t>
  </si>
  <si>
    <t>PRIHODI OD PRODAJE NEFINANCIJSKE IMOVINE</t>
  </si>
  <si>
    <t>RAZLIKA - VIŠAK / MANJAK IZ PRETHODNE GODINE</t>
  </si>
  <si>
    <t>UKUPNO PRIHODI RAČUN 6 + RAČUN 7 + VIŠAK PRIHODA 9221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</si>
  <si>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</si>
  <si>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</si>
  <si>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</si>
  <si>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</si>
  <si>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</si>
  <si>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</si>
  <si>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</si>
  <si>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</si>
  <si>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</si>
  <si>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</si>
  <si>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</si>
  <si>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</si>
  <si>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</t>
  </si>
  <si>
    <t>Ostale naknade građanima i kućanstvima iz proračuna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</si>
  <si>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</si>
  <si>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</si>
  <si>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</si>
  <si>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</si>
  <si>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Postrojenja i oprema</t>
  </si>
  <si>
    <t>Rashodi za dodatna ulaganja na nef. Imovini</t>
  </si>
  <si>
    <t>Dodatna ulaganja na građ. Objektima</t>
  </si>
  <si>
    <t>UKUPNO RASHODI RAČUN 3 + RAČUN 4</t>
  </si>
  <si>
    <t>Predsjednica ŠO:</t>
  </si>
  <si>
    <t>RAVNATELJ:</t>
  </si>
  <si>
    <t>Ivančica Antolić</t>
  </si>
  <si>
    <t>Plaće za redovan rad</t>
  </si>
  <si>
    <t>Plaće za prekovremeni rad</t>
  </si>
  <si>
    <t>Plaće za posebne uvjete rada</t>
  </si>
  <si>
    <t>Doprinosi za obvezno ZO</t>
  </si>
  <si>
    <t>Doprinosi za obvezno osig.u sl.nezap.</t>
  </si>
  <si>
    <t xml:space="preserve">Naknade za prijevoz, za rad na terenu </t>
  </si>
  <si>
    <t>Pristojbe i naknade</t>
  </si>
  <si>
    <t>Uredski materijal i ostali mat.rashodi</t>
  </si>
  <si>
    <t>Energija</t>
  </si>
  <si>
    <t>Usluge telefona, pošte i prijevoza</t>
  </si>
  <si>
    <t>Usluge tekućeg i inv. Održavanja</t>
  </si>
  <si>
    <t>Ostale usluge</t>
  </si>
  <si>
    <t>Premije osiguranja</t>
  </si>
  <si>
    <t>Uredska oprema i namještaj</t>
  </si>
  <si>
    <t xml:space="preserve"> Službena putovanja</t>
  </si>
  <si>
    <t>Stručno usavršavanje zaposlenika</t>
  </si>
  <si>
    <t>Ostale naknade troškova zaposlenika</t>
  </si>
  <si>
    <t>Materijal i dijelovi za tekuće i inv. Održavanje</t>
  </si>
  <si>
    <t>Sitni inventar i autogume</t>
  </si>
  <si>
    <t>Službena, radna i zaštitna odjeća i obuća</t>
  </si>
  <si>
    <t>Komunalne usluge</t>
  </si>
  <si>
    <t>Zakupnine i najamnine</t>
  </si>
  <si>
    <t>Računalne usluge</t>
  </si>
  <si>
    <t>Reprezentacija</t>
  </si>
  <si>
    <t>Članarine</t>
  </si>
  <si>
    <t>Bankarske usluge i usl.platnog prometa</t>
  </si>
  <si>
    <t>Ostali nespomenuti financijski rashodi</t>
  </si>
  <si>
    <t>Licence</t>
  </si>
  <si>
    <t>Uređaji, strojevi i oprema za ostale namjene</t>
  </si>
  <si>
    <t>OPIS</t>
  </si>
  <si>
    <t>PRIHODI UKUPNO</t>
  </si>
  <si>
    <t>RASHODI UKUPNO</t>
  </si>
  <si>
    <t>VIŠAK - MANJAK IZ PRETHODNE GODINE</t>
  </si>
  <si>
    <t>PRIMICI OD FINANCIJSKE IMOVINE I ZADUUŽIVANJA</t>
  </si>
  <si>
    <t>IZDACI ZA FINANCIJSKU IMOVINU I OTPLATE ZAJMOVA</t>
  </si>
  <si>
    <t>NETO FINANCIRANJE</t>
  </si>
  <si>
    <t>13(7do 12)</t>
  </si>
  <si>
    <t>Donacije</t>
  </si>
  <si>
    <t>SVEUKUPNO</t>
  </si>
  <si>
    <t>VIŠAK/MANJAK NA KRAJU GODINE</t>
  </si>
  <si>
    <t>Napomena: Prema uputi  za izradu proračuna Krapinsko-zagorske županije, proračun se podnosi na usvajanje predstavničkom tijelu isključivo na trećoj razini ekonomske klasifikacije, a izvještaj o izvršenju proračuna podnosi se na razini odjeljka (četvrtoj razini ekonomske klasifikacije).</t>
  </si>
  <si>
    <t>Višak/manjak + neto financiranje dobiven je tako da je zbroj prihoda i viška -manjka prihoda iz prethodne godine umanjen za ukupne rashode.</t>
  </si>
  <si>
    <t>RAZLIKA - prihodi i rashodi</t>
  </si>
  <si>
    <t>Knjige, umj. Djela i ostale izložbene vrijednosti</t>
  </si>
  <si>
    <t xml:space="preserve">Knjige </t>
  </si>
  <si>
    <t>Komunikacijska oprema</t>
  </si>
  <si>
    <t>IZVRŠENJE  31.12.2020. GODINE</t>
  </si>
  <si>
    <t>3,8; 6,10</t>
  </si>
  <si>
    <t>Tekući plan - 2. rebalans financijskog plana za 2021.</t>
  </si>
  <si>
    <t>Zdravstvene i veterinarske usluge</t>
  </si>
  <si>
    <t>1,4; 1,5; 2,1;2,2;2,3;2,9</t>
  </si>
  <si>
    <t>Usluge promidžbe i informiranja</t>
  </si>
  <si>
    <t>IZVRŠENJE  31.12.2021. GODINE</t>
  </si>
  <si>
    <t>Nematerijalna proizvedena imovina</t>
  </si>
  <si>
    <t>Ulaganja u računalne programe</t>
  </si>
  <si>
    <t xml:space="preserve">Izvorni financijski plan za 2021. godinu
</t>
  </si>
  <si>
    <t xml:space="preserve">Tekući plan - 2. rebalans financijskog plana za 2021. </t>
  </si>
  <si>
    <t>Šifra</t>
  </si>
  <si>
    <t>Naziv</t>
  </si>
  <si>
    <t>PRIJEDLOG  FINANCIJSKOG PLANA ZA 2021.</t>
  </si>
  <si>
    <t>Opći prihodi i primici</t>
  </si>
  <si>
    <t>Vlastiti prihodi</t>
  </si>
  <si>
    <t>Pomoći</t>
  </si>
  <si>
    <t>Prihodi od nefinancijske imovine i nadoknade šteta s osnova osiguranja</t>
  </si>
  <si>
    <t>Namjenski primici od zaduživanja</t>
  </si>
  <si>
    <t xml:space="preserve">J01 1000 </t>
  </si>
  <si>
    <t>OSNOVNO OBRAZOVANJE- ZAKONSKI STANDARD</t>
  </si>
  <si>
    <t xml:space="preserve">A102000 </t>
  </si>
  <si>
    <t>Redovni poslovi osnovnog obrazovanja</t>
  </si>
  <si>
    <t>Plaće (Bruto)</t>
  </si>
  <si>
    <t>Financijski  rashodi</t>
  </si>
  <si>
    <t>Naknade građanima i kućanstvima na temelju osiguranja i druge naknade</t>
  </si>
  <si>
    <t>Rashodi za nabavu nefinancijske imovine</t>
  </si>
  <si>
    <t>Rashodi za nabavu neproizvedene dugotrajne imovine</t>
  </si>
  <si>
    <t>Rashodi za nabavu proizvedene dugotrajne  imovine</t>
  </si>
  <si>
    <t>Knjige, umjetnička djela i ostale izložbene vrijednosti</t>
  </si>
  <si>
    <t>J01 1003</t>
  </si>
  <si>
    <t xml:space="preserve"> DOPUNSKI NASTVNI I VANNASTAVNI PROGRAM ŠKOLA I OBRAZ. INSTIT.</t>
  </si>
  <si>
    <t>A102001</t>
  </si>
  <si>
    <t xml:space="preserve"> Ostali rashodi OŠ</t>
  </si>
  <si>
    <t>T103006</t>
  </si>
  <si>
    <t>Projekt Baltazar</t>
  </si>
  <si>
    <t>T103010</t>
  </si>
  <si>
    <t>Sufinanciranje nabave radnih bilježnica učenicima OŠ</t>
  </si>
  <si>
    <t xml:space="preserve">08005 3702 </t>
  </si>
  <si>
    <t>PREDŠKOLSKI ODGOJ</t>
  </si>
  <si>
    <t xml:space="preserve">A578004 </t>
  </si>
  <si>
    <t>Odgoj i obrazovanje djece s teškoćama u razvoju</t>
  </si>
  <si>
    <t xml:space="preserve">08005 3703 </t>
  </si>
  <si>
    <t>OSNOVNOŠKOLSKO OBRAZOVANJE</t>
  </si>
  <si>
    <t xml:space="preserve">A579000 </t>
  </si>
  <si>
    <t>Osnovnoškolsko obrazovanje - plaće</t>
  </si>
  <si>
    <t xml:space="preserve">A579003 </t>
  </si>
  <si>
    <t>Odgoj i naobrazba učenika s teškoćama u razvoju</t>
  </si>
  <si>
    <t>Redovni poslovi osnovnog obrazovanja-DEC</t>
  </si>
  <si>
    <t>Prijevozna sredstva</t>
  </si>
  <si>
    <t>Dodatna ulaganja na nef.imovini</t>
  </si>
  <si>
    <t>Projekt Baltazar4</t>
  </si>
  <si>
    <t xml:space="preserve">Odgoj i obrazovanje djece s teškoćama u razvoju </t>
  </si>
  <si>
    <t>7=6/5x100</t>
  </si>
  <si>
    <t>8=6/3x100</t>
  </si>
  <si>
    <t>Indeks-izvršenje u odnosu na tekući plan</t>
  </si>
  <si>
    <t>Indeks-izvršenje u odnosu na izvršenje prethodne godine</t>
  </si>
  <si>
    <t>PO PROGRAMSKOJ, EKONOMSKOJ I IZVORIMA FINANCIRANJA</t>
  </si>
  <si>
    <t>Izvor financiranja - Opći prihodi i primici</t>
  </si>
  <si>
    <t>Izvor financiranja - Vlastiti prihodi</t>
  </si>
  <si>
    <t>Izvor financiranja - prihodi za posebne namjene</t>
  </si>
  <si>
    <t>Izvor financiranja - Pomoći</t>
  </si>
  <si>
    <t>Izvor financiranja - Donacije</t>
  </si>
  <si>
    <t>Indeks</t>
  </si>
  <si>
    <t>7=6/5*100</t>
  </si>
  <si>
    <t>Dodatna ulaganja na građevinskim objektima</t>
  </si>
  <si>
    <t>Rashodi za dodatna ulaganja na nefinancijskoj imovini</t>
  </si>
  <si>
    <t>RASHODI I IZDACI</t>
  </si>
  <si>
    <t>PRIHODI I PRIMICI</t>
  </si>
  <si>
    <t>Izvor financiranja - Prihodi za posebne namjene</t>
  </si>
  <si>
    <t>Izvori financiranja - sveukupno</t>
  </si>
  <si>
    <t>6=5/4*100</t>
  </si>
  <si>
    <t>PRENESENI VIŠAK / MANJAK</t>
  </si>
  <si>
    <t>Višak/manjak prihoda</t>
  </si>
  <si>
    <t>14=(5/4)x100</t>
  </si>
  <si>
    <t>Ekonomska klasifikacija</t>
  </si>
  <si>
    <t xml:space="preserve">Napomena: Stupac 4. označava zadnji rebalans financijskog plana za 2021. godinu. </t>
  </si>
  <si>
    <t>Antun Zupanc,  mag.rehab.educ.</t>
  </si>
  <si>
    <t xml:space="preserve">Izvorni financijski plan za 2022. godinu
</t>
  </si>
  <si>
    <t>IZVORNI PLAN ZA 2022. GODINU</t>
  </si>
  <si>
    <t xml:space="preserve"> 1. REBALANS FINANCIJSKOG PLANA ZA 2022.</t>
  </si>
  <si>
    <t>T103013</t>
  </si>
  <si>
    <t>Projekt Zalogajček</t>
  </si>
  <si>
    <t>Službena putovanja</t>
  </si>
  <si>
    <t>Ostale usluge za komunikaciju i prijevoz</t>
  </si>
  <si>
    <t>Izvršenje financijskog plana na dan 31.12.2022. godine</t>
  </si>
  <si>
    <t xml:space="preserve"> 1. rebalans financijskog plana za 2022.</t>
  </si>
  <si>
    <t>Tekući plan - 2. rebalans financijskog plana za 2022.</t>
  </si>
  <si>
    <t>IZVRŠENJE  31.12.2022. GODINE</t>
  </si>
  <si>
    <t xml:space="preserve">IZVJEŠTAJ O IZVRŠENJU FINANCIJSKOG PLANA ZA RAZDOBLJE 01.01.-31.12.2022. GODINE </t>
  </si>
  <si>
    <t>Izvršenje financijskog plana za razdoblje 01.01.-31.12.2022.</t>
  </si>
  <si>
    <t xml:space="preserve">Tekući plan - 2. rebalans financijskog plana za 2022. </t>
  </si>
  <si>
    <t xml:space="preserve"> 1. rebalans financijskog plana za 2022. </t>
  </si>
  <si>
    <t>Materijalna imovina -  prirodna bogatstva</t>
  </si>
  <si>
    <t>Zemljište</t>
  </si>
  <si>
    <t>Kapitalne donacije</t>
  </si>
  <si>
    <t>Zatezne kamate</t>
  </si>
  <si>
    <t xml:space="preserve"> 2. REBALANS FINANCIJSKOG PLANA ZA 2022.</t>
  </si>
  <si>
    <t>IZVRŠENJE FINANCIJSKOG PLANA 31.12.2022</t>
  </si>
  <si>
    <t>Rashodi za čnabavu neproizvedene dugotrajne imovine</t>
  </si>
  <si>
    <t>Materijalna imovina - prirodna bogatstva</t>
  </si>
  <si>
    <t>KLASA: 400-02/23-01/01</t>
  </si>
  <si>
    <t>URBROJ: 2140-97-23-01</t>
  </si>
  <si>
    <t>Krapinske Toplice, 09.03.2023.</t>
  </si>
  <si>
    <t>12(7do 11)</t>
  </si>
  <si>
    <t>13=(5/4)x100</t>
  </si>
  <si>
    <t>5=6+12</t>
  </si>
  <si>
    <t>VIŠAK/MANJAK KOJI ĆE SE RASPOREDITI/POKRITI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</si>
</sst>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1" xfId="0" quotePrefix="1" applyFont="1" applyBorder="1" applyAlignment="1">
      <alignment horizontal="left" wrapText="1"/>
    </xf>
    <xf numFmtId="0" fontId="1" fillId="0" borderId="2" xfId="0" quotePrefix="1" applyFont="1" applyBorder="1" applyAlignment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quotePrefix="1" applyFont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  <xf numFmtId="0" fontId="5" fillId="0" borderId="1" xfId="0" applyFont="1" applyBorder="1"/>
    <xf numFmtId="0" fontId="5" fillId="0" borderId="2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horizontal="center" wrapText="1"/>
    </xf>
    <xf numFmtId="4" fontId="6" fillId="0" borderId="1" xfId="0" applyNumberFormat="1" applyFont="1" applyBorder="1" applyAlignment="1">
      <alignment horizontal="right"/>
    </xf>
    <xf numFmtId="0" fontId="7" fillId="0" borderId="0" xfId="0" applyFont="1"/>
    <xf numFmtId="0" fontId="8" fillId="0" borderId="1" xfId="0" applyFont="1" applyBorder="1"/>
    <xf numFmtId="0" fontId="8" fillId="0" borderId="2" xfId="0" applyNumberFormat="1" applyFont="1" applyFill="1" applyBorder="1" applyAlignment="1" applyProtection="1">
      <alignment wrapText="1"/>
    </xf>
    <xf numFmtId="4" fontId="9" fillId="0" borderId="1" xfId="0" applyNumberFormat="1" applyFont="1" applyBorder="1" applyAlignment="1">
      <alignment horizontal="right"/>
    </xf>
    <xf numFmtId="4" fontId="10" fillId="0" borderId="1" xfId="0" applyNumberFormat="1" applyFont="1" applyBorder="1"/>
    <xf numFmtId="4" fontId="11" fillId="0" borderId="1" xfId="0" applyNumberFormat="1" applyFont="1" applyBorder="1"/>
    <xf numFmtId="0" fontId="5" fillId="0" borderId="2" xfId="0" quotePrefix="1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horizontal="right" wrapText="1"/>
    </xf>
    <xf numFmtId="0" fontId="8" fillId="0" borderId="2" xfId="0" quotePrefix="1" applyNumberFormat="1" applyFont="1" applyFill="1" applyBorder="1" applyAlignment="1" applyProtection="1">
      <alignment wrapText="1"/>
    </xf>
    <xf numFmtId="4" fontId="9" fillId="0" borderId="1" xfId="0" applyNumberFormat="1" applyFont="1" applyFill="1" applyBorder="1" applyAlignment="1" applyProtection="1">
      <alignment horizontal="right" wrapText="1"/>
    </xf>
    <xf numFmtId="0" fontId="5" fillId="0" borderId="1" xfId="0" quotePrefix="1" applyNumberFormat="1" applyFont="1" applyFill="1" applyBorder="1" applyAlignment="1" applyProtection="1">
      <alignment wrapText="1"/>
    </xf>
    <xf numFmtId="0" fontId="8" fillId="0" borderId="0" xfId="0" applyFont="1"/>
    <xf numFmtId="0" fontId="8" fillId="0" borderId="0" xfId="0" quotePrefix="1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>
      <alignment horizontal="right" wrapText="1"/>
    </xf>
    <xf numFmtId="0" fontId="8" fillId="0" borderId="1" xfId="0" quotePrefix="1" applyNumberFormat="1" applyFont="1" applyFill="1" applyBorder="1" applyAlignment="1" applyProtection="1">
      <alignment wrapText="1"/>
    </xf>
    <xf numFmtId="0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left" vertical="center" wrapText="1"/>
    </xf>
    <xf numFmtId="3" fontId="0" fillId="0" borderId="0" xfId="0" applyNumberFormat="1"/>
    <xf numFmtId="0" fontId="5" fillId="0" borderId="1" xfId="0" quotePrefix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8" fillId="0" borderId="1" xfId="0" quotePrefix="1" applyNumberFormat="1" applyFont="1" applyBorder="1" applyAlignment="1">
      <alignment horizontal="left" vertical="center" wrapText="1"/>
    </xf>
    <xf numFmtId="0" fontId="12" fillId="0" borderId="0" xfId="0" applyFont="1"/>
    <xf numFmtId="0" fontId="0" fillId="0" borderId="0" xfId="0" applyFont="1"/>
    <xf numFmtId="4" fontId="6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4" fontId="10" fillId="0" borderId="1" xfId="0" applyNumberFormat="1" applyFont="1" applyFill="1" applyBorder="1"/>
    <xf numFmtId="4" fontId="6" fillId="2" borderId="1" xfId="0" applyNumberFormat="1" applyFont="1" applyFill="1" applyBorder="1" applyAlignment="1" applyProtection="1">
      <alignment horizontal="center" wrapText="1"/>
    </xf>
    <xf numFmtId="4" fontId="6" fillId="2" borderId="1" xfId="0" applyNumberFormat="1" applyFont="1" applyFill="1" applyBorder="1" applyAlignment="1" applyProtection="1">
      <alignment horizontal="right" wrapText="1"/>
    </xf>
    <xf numFmtId="0" fontId="5" fillId="2" borderId="1" xfId="0" applyFont="1" applyFill="1" applyBorder="1"/>
    <xf numFmtId="0" fontId="5" fillId="2" borderId="2" xfId="0" applyNumberFormat="1" applyFont="1" applyFill="1" applyBorder="1" applyAlignment="1" applyProtection="1">
      <alignment wrapText="1"/>
    </xf>
    <xf numFmtId="0" fontId="5" fillId="2" borderId="1" xfId="0" quotePrefix="1" applyNumberFormat="1" applyFont="1" applyFill="1" applyBorder="1" applyAlignment="1" applyProtection="1">
      <alignment wrapText="1"/>
    </xf>
    <xf numFmtId="3" fontId="3" fillId="2" borderId="1" xfId="0" applyNumberFormat="1" applyFont="1" applyFill="1" applyBorder="1" applyAlignment="1" applyProtection="1">
      <alignment horizontal="right" wrapText="1"/>
    </xf>
    <xf numFmtId="0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3" fontId="5" fillId="2" borderId="1" xfId="0" quotePrefix="1" applyNumberFormat="1" applyFont="1" applyFill="1" applyBorder="1" applyAlignment="1">
      <alignment horizontal="right" vertical="center"/>
    </xf>
    <xf numFmtId="0" fontId="5" fillId="0" borderId="2" xfId="0" quotePrefix="1" applyFont="1" applyBorder="1" applyAlignment="1">
      <alignment wrapText="1"/>
    </xf>
    <xf numFmtId="0" fontId="8" fillId="0" borderId="2" xfId="0" quotePrefix="1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3" fontId="5" fillId="2" borderId="1" xfId="0" quotePrefix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3" fillId="0" borderId="0" xfId="0" applyFont="1" applyFill="1"/>
    <xf numFmtId="0" fontId="10" fillId="0" borderId="0" xfId="0" applyFont="1"/>
    <xf numFmtId="0" fontId="9" fillId="0" borderId="1" xfId="0" applyNumberFormat="1" applyFont="1" applyFill="1" applyBorder="1" applyAlignment="1" applyProtection="1">
      <alignment horizont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/>
    <xf numFmtId="4" fontId="13" fillId="0" borderId="1" xfId="0" applyNumberFormat="1" applyFont="1" applyFill="1" applyBorder="1"/>
    <xf numFmtId="4" fontId="11" fillId="2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/>
    </xf>
    <xf numFmtId="3" fontId="13" fillId="0" borderId="0" xfId="0" applyNumberFormat="1" applyFont="1"/>
    <xf numFmtId="0" fontId="9" fillId="0" borderId="0" xfId="0" applyNumberFormat="1" applyFont="1" applyFill="1" applyBorder="1" applyAlignment="1" applyProtection="1"/>
    <xf numFmtId="0" fontId="5" fillId="0" borderId="0" xfId="0" quotePrefix="1" applyNumberFormat="1" applyFont="1" applyFill="1" applyBorder="1" applyAlignment="1" applyProtection="1">
      <alignment wrapText="1"/>
    </xf>
    <xf numFmtId="4" fontId="9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3" fontId="5" fillId="0" borderId="1" xfId="0" quotePrefix="1" applyNumberFormat="1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9" fillId="0" borderId="3" xfId="0" applyNumberFormat="1" applyFont="1" applyFill="1" applyBorder="1" applyAlignment="1" applyProtection="1">
      <alignment horizontal="right" wrapText="1"/>
    </xf>
    <xf numFmtId="3" fontId="5" fillId="0" borderId="0" xfId="0" quotePrefix="1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wrapText="1"/>
    </xf>
    <xf numFmtId="0" fontId="9" fillId="0" borderId="3" xfId="0" applyNumberFormat="1" applyFont="1" applyFill="1" applyBorder="1" applyAlignment="1" applyProtection="1">
      <alignment horizont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4" fontId="5" fillId="2" borderId="1" xfId="0" applyNumberFormat="1" applyFont="1" applyFill="1" applyBorder="1" applyAlignment="1">
      <alignment horizontal="right" vertical="center"/>
    </xf>
    <xf numFmtId="4" fontId="13" fillId="0" borderId="0" xfId="0" applyNumberFormat="1" applyFont="1"/>
    <xf numFmtId="0" fontId="7" fillId="0" borderId="0" xfId="0" applyFont="1" applyFill="1"/>
    <xf numFmtId="0" fontId="12" fillId="0" borderId="0" xfId="0" applyFont="1" applyFill="1"/>
    <xf numFmtId="4" fontId="0" fillId="0" borderId="0" xfId="0" applyNumberFormat="1"/>
    <xf numFmtId="0" fontId="9" fillId="3" borderId="1" xfId="0" applyNumberFormat="1" applyFont="1" applyFill="1" applyBorder="1" applyAlignment="1" applyProtection="1">
      <alignment horizontal="center" wrapText="1"/>
    </xf>
    <xf numFmtId="4" fontId="6" fillId="3" borderId="1" xfId="0" applyNumberFormat="1" applyFont="1" applyFill="1" applyBorder="1" applyAlignment="1" applyProtection="1">
      <alignment horizontal="center" wrapText="1"/>
    </xf>
    <xf numFmtId="4" fontId="6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 applyProtection="1">
      <alignment horizontal="center" wrapText="1"/>
    </xf>
    <xf numFmtId="4" fontId="6" fillId="3" borderId="1" xfId="0" applyNumberFormat="1" applyFont="1" applyFill="1" applyBorder="1" applyAlignment="1" applyProtection="1">
      <alignment horizontal="right" wrapText="1"/>
    </xf>
    <xf numFmtId="3" fontId="3" fillId="3" borderId="1" xfId="0" applyNumberFormat="1" applyFont="1" applyFill="1" applyBorder="1" applyAlignment="1" applyProtection="1">
      <alignment horizontal="right" wrapText="1"/>
    </xf>
    <xf numFmtId="4" fontId="11" fillId="3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 applyProtection="1">
      <alignment horizontal="right" wrapText="1"/>
    </xf>
    <xf numFmtId="3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 applyProtection="1"/>
    <xf numFmtId="4" fontId="5" fillId="0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/>
    <xf numFmtId="4" fontId="13" fillId="0" borderId="0" xfId="0" applyNumberFormat="1" applyFont="1" applyFill="1"/>
    <xf numFmtId="4" fontId="6" fillId="3" borderId="3" xfId="0" applyNumberFormat="1" applyFont="1" applyFill="1" applyBorder="1" applyAlignment="1" applyProtection="1">
      <alignment horizontal="right" wrapText="1"/>
    </xf>
    <xf numFmtId="4" fontId="11" fillId="3" borderId="3" xfId="0" applyNumberFormat="1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6" fillId="4" borderId="2" xfId="0" applyNumberFormat="1" applyFont="1" applyFill="1" applyBorder="1" applyAlignment="1" applyProtection="1">
      <alignment horizontal="center" vertical="center" wrapText="1"/>
    </xf>
    <xf numFmtId="0" fontId="16" fillId="5" borderId="7" xfId="0" applyNumberFormat="1" applyFont="1" applyFill="1" applyBorder="1" applyAlignment="1" applyProtection="1"/>
    <xf numFmtId="0" fontId="16" fillId="6" borderId="0" xfId="0" applyNumberFormat="1" applyFont="1" applyFill="1" applyBorder="1" applyAlignment="1" applyProtection="1">
      <alignment wrapText="1"/>
    </xf>
    <xf numFmtId="0" fontId="16" fillId="6" borderId="0" xfId="0" applyNumberFormat="1" applyFont="1" applyFill="1" applyBorder="1" applyAlignment="1" applyProtection="1"/>
    <xf numFmtId="0" fontId="16" fillId="2" borderId="0" xfId="0" applyNumberFormat="1" applyFont="1" applyFill="1" applyBorder="1" applyAlignment="1" applyProtection="1">
      <alignment horizontal="left"/>
    </xf>
    <xf numFmtId="0" fontId="16" fillId="2" borderId="0" xfId="0" applyNumberFormat="1" applyFont="1" applyFill="1" applyBorder="1" applyAlignment="1" applyProtection="1">
      <alignment wrapText="1"/>
    </xf>
    <xf numFmtId="0" fontId="16" fillId="2" borderId="0" xfId="0" applyNumberFormat="1" applyFont="1" applyFill="1" applyBorder="1" applyAlignment="1" applyProtection="1"/>
    <xf numFmtId="0" fontId="16" fillId="0" borderId="8" xfId="0" applyNumberFormat="1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wrapText="1"/>
    </xf>
    <xf numFmtId="0" fontId="16" fillId="0" borderId="8" xfId="0" applyNumberFormat="1" applyFont="1" applyFill="1" applyBorder="1" applyAlignment="1" applyProtection="1"/>
    <xf numFmtId="0" fontId="17" fillId="0" borderId="8" xfId="0" applyNumberFormat="1" applyFont="1" applyFill="1" applyBorder="1" applyAlignment="1" applyProtection="1">
      <alignment horizontal="center"/>
    </xf>
    <xf numFmtId="0" fontId="17" fillId="0" borderId="8" xfId="0" applyNumberFormat="1" applyFont="1" applyFill="1" applyBorder="1" applyAlignment="1" applyProtection="1">
      <alignment wrapText="1"/>
    </xf>
    <xf numFmtId="0" fontId="17" fillId="0" borderId="8" xfId="0" applyNumberFormat="1" applyFont="1" applyFill="1" applyBorder="1" applyAlignment="1" applyProtection="1"/>
    <xf numFmtId="0" fontId="16" fillId="0" borderId="9" xfId="0" applyNumberFormat="1" applyFont="1" applyFill="1" applyBorder="1" applyAlignment="1" applyProtection="1"/>
    <xf numFmtId="0" fontId="17" fillId="0" borderId="9" xfId="0" applyNumberFormat="1" applyFont="1" applyFill="1" applyBorder="1" applyAlignment="1" applyProtection="1"/>
    <xf numFmtId="0" fontId="16" fillId="2" borderId="8" xfId="0" applyNumberFormat="1" applyFont="1" applyFill="1" applyBorder="1" applyAlignment="1" applyProtection="1">
      <alignment horizontal="left"/>
    </xf>
    <xf numFmtId="0" fontId="16" fillId="2" borderId="8" xfId="0" applyNumberFormat="1" applyFont="1" applyFill="1" applyBorder="1" applyAlignment="1" applyProtection="1">
      <alignment wrapText="1"/>
    </xf>
    <xf numFmtId="0" fontId="16" fillId="2" borderId="8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6" fillId="7" borderId="1" xfId="0" applyNumberFormat="1" applyFont="1" applyFill="1" applyBorder="1" applyAlignment="1" applyProtection="1">
      <alignment horizontal="center" vertical="center" wrapText="1"/>
    </xf>
    <xf numFmtId="0" fontId="16" fillId="7" borderId="2" xfId="0" applyNumberFormat="1" applyFont="1" applyFill="1" applyBorder="1" applyAlignment="1" applyProtection="1">
      <alignment horizontal="center" vertical="center" wrapText="1"/>
    </xf>
    <xf numFmtId="0" fontId="16" fillId="8" borderId="7" xfId="0" applyNumberFormat="1" applyFont="1" applyFill="1" applyBorder="1" applyAlignment="1" applyProtection="1"/>
    <xf numFmtId="0" fontId="16" fillId="7" borderId="0" xfId="0" applyNumberFormat="1" applyFont="1" applyFill="1" applyBorder="1" applyAlignment="1" applyProtection="1">
      <alignment wrapText="1"/>
    </xf>
    <xf numFmtId="0" fontId="16" fillId="7" borderId="0" xfId="0" applyNumberFormat="1" applyFont="1" applyFill="1" applyBorder="1" applyAlignment="1" applyProtection="1"/>
    <xf numFmtId="0" fontId="16" fillId="3" borderId="0" xfId="0" applyNumberFormat="1" applyFont="1" applyFill="1" applyBorder="1" applyAlignment="1" applyProtection="1">
      <alignment horizontal="left"/>
    </xf>
    <xf numFmtId="0" fontId="16" fillId="3" borderId="0" xfId="0" applyNumberFormat="1" applyFont="1" applyFill="1" applyBorder="1" applyAlignment="1" applyProtection="1">
      <alignment wrapText="1"/>
    </xf>
    <xf numFmtId="0" fontId="16" fillId="3" borderId="0" xfId="0" applyNumberFormat="1" applyFont="1" applyFill="1" applyBorder="1" applyAlignment="1" applyProtection="1"/>
    <xf numFmtId="0" fontId="16" fillId="9" borderId="0" xfId="0" applyNumberFormat="1" applyFont="1" applyFill="1" applyBorder="1" applyAlignment="1" applyProtection="1">
      <alignment horizontal="left"/>
    </xf>
    <xf numFmtId="0" fontId="16" fillId="7" borderId="8" xfId="0" applyNumberFormat="1" applyFont="1" applyFill="1" applyBorder="1" applyAlignment="1" applyProtection="1">
      <alignment wrapText="1"/>
    </xf>
    <xf numFmtId="0" fontId="16" fillId="7" borderId="8" xfId="0" applyNumberFormat="1" applyFont="1" applyFill="1" applyBorder="1" applyAlignment="1" applyProtection="1"/>
    <xf numFmtId="0" fontId="16" fillId="9" borderId="8" xfId="0" applyNumberFormat="1" applyFont="1" applyFill="1" applyBorder="1" applyAlignment="1" applyProtection="1">
      <alignment horizontal="left"/>
    </xf>
    <xf numFmtId="0" fontId="16" fillId="3" borderId="8" xfId="0" applyNumberFormat="1" applyFont="1" applyFill="1" applyBorder="1" applyAlignment="1" applyProtection="1">
      <alignment wrapText="1"/>
    </xf>
    <xf numFmtId="0" fontId="16" fillId="3" borderId="8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6" fillId="10" borderId="0" xfId="0" applyNumberFormat="1" applyFont="1" applyFill="1" applyBorder="1" applyAlignment="1" applyProtection="1">
      <alignment horizontal="center" vertical="center"/>
    </xf>
    <xf numFmtId="0" fontId="16" fillId="10" borderId="0" xfId="0" applyNumberFormat="1" applyFont="1" applyFill="1" applyBorder="1" applyAlignment="1" applyProtection="1"/>
    <xf numFmtId="0" fontId="16" fillId="1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/>
    <xf numFmtId="4" fontId="16" fillId="8" borderId="7" xfId="0" applyNumberFormat="1" applyFont="1" applyFill="1" applyBorder="1" applyAlignment="1" applyProtection="1"/>
    <xf numFmtId="4" fontId="16" fillId="7" borderId="0" xfId="0" applyNumberFormat="1" applyFont="1" applyFill="1" applyBorder="1" applyAlignment="1" applyProtection="1"/>
    <xf numFmtId="4" fontId="16" fillId="3" borderId="0" xfId="0" applyNumberFormat="1" applyFont="1" applyFill="1" applyBorder="1" applyAlignment="1" applyProtection="1"/>
    <xf numFmtId="4" fontId="16" fillId="10" borderId="0" xfId="0" applyNumberFormat="1" applyFont="1" applyFill="1" applyBorder="1" applyAlignment="1" applyProtection="1"/>
    <xf numFmtId="4" fontId="16" fillId="0" borderId="8" xfId="0" applyNumberFormat="1" applyFont="1" applyFill="1" applyBorder="1" applyAlignment="1" applyProtection="1"/>
    <xf numFmtId="4" fontId="17" fillId="0" borderId="8" xfId="0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4" fontId="16" fillId="7" borderId="0" xfId="0" applyNumberFormat="1" applyFont="1" applyFill="1" applyBorder="1" applyAlignment="1" applyProtection="1">
      <alignment wrapText="1"/>
    </xf>
    <xf numFmtId="4" fontId="16" fillId="3" borderId="0" xfId="0" applyNumberFormat="1" applyFont="1" applyFill="1" applyBorder="1" applyAlignment="1" applyProtection="1">
      <alignment wrapText="1"/>
    </xf>
    <xf numFmtId="4" fontId="17" fillId="0" borderId="0" xfId="0" applyNumberFormat="1" applyFont="1" applyFill="1" applyBorder="1" applyAlignment="1" applyProtection="1"/>
    <xf numFmtId="4" fontId="16" fillId="7" borderId="8" xfId="0" applyNumberFormat="1" applyFont="1" applyFill="1" applyBorder="1" applyAlignment="1" applyProtection="1"/>
    <xf numFmtId="4" fontId="16" fillId="3" borderId="8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/>
    <xf numFmtId="4" fontId="16" fillId="10" borderId="0" xfId="0" applyNumberFormat="1" applyFont="1" applyFill="1" applyBorder="1" applyAlignment="1" applyProtection="1">
      <alignment horizontal="center" vertical="center"/>
    </xf>
    <xf numFmtId="4" fontId="16" fillId="0" borderId="1" xfId="0" applyNumberFormat="1" applyFont="1" applyFill="1" applyBorder="1" applyAlignment="1" applyProtection="1">
      <alignment horizontal="center" vertical="center"/>
    </xf>
    <xf numFmtId="4" fontId="16" fillId="0" borderId="1" xfId="0" applyNumberFormat="1" applyFont="1" applyFill="1" applyBorder="1" applyAlignment="1" applyProtection="1"/>
    <xf numFmtId="0" fontId="8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6" fillId="7" borderId="0" xfId="0" applyNumberFormat="1" applyFont="1" applyFill="1" applyBorder="1" applyAlignment="1" applyProtection="1">
      <alignment horizontal="center" vertical="center" wrapText="1"/>
    </xf>
    <xf numFmtId="0" fontId="16" fillId="8" borderId="0" xfId="0" applyNumberFormat="1" applyFont="1" applyFill="1" applyBorder="1" applyAlignment="1" applyProtection="1">
      <alignment horizontal="center" vertical="center" wrapText="1"/>
    </xf>
    <xf numFmtId="0" fontId="16" fillId="8" borderId="0" xfId="0" applyNumberFormat="1" applyFont="1" applyFill="1" applyBorder="1" applyAlignment="1" applyProtection="1">
      <alignment horizontal="left" vertical="center"/>
    </xf>
    <xf numFmtId="4" fontId="16" fillId="8" borderId="0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/>
    <xf numFmtId="0" fontId="8" fillId="0" borderId="8" xfId="0" quotePrefix="1" applyNumberFormat="1" applyFont="1" applyFill="1" applyBorder="1" applyAlignment="1" applyProtection="1">
      <alignment wrapText="1"/>
    </xf>
    <xf numFmtId="4" fontId="16" fillId="7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wrapText="1"/>
    </xf>
    <xf numFmtId="2" fontId="16" fillId="0" borderId="8" xfId="0" applyNumberFormat="1" applyFont="1" applyFill="1" applyBorder="1" applyAlignment="1" applyProtection="1">
      <alignment horizontal="center" vertical="center" wrapText="1"/>
    </xf>
    <xf numFmtId="2" fontId="16" fillId="10" borderId="0" xfId="0" applyNumberFormat="1" applyFont="1" applyFill="1" applyBorder="1" applyAlignment="1" applyProtection="1">
      <alignment horizontal="center" vertical="center"/>
    </xf>
    <xf numFmtId="4" fontId="16" fillId="10" borderId="8" xfId="0" applyNumberFormat="1" applyFont="1" applyFill="1" applyBorder="1" applyAlignment="1" applyProtection="1"/>
    <xf numFmtId="3" fontId="16" fillId="7" borderId="0" xfId="0" applyNumberFormat="1" applyFont="1" applyFill="1" applyBorder="1" applyAlignment="1" applyProtection="1">
      <alignment horizontal="center" vertical="center" wrapText="1"/>
    </xf>
    <xf numFmtId="3" fontId="16" fillId="10" borderId="0" xfId="0" applyNumberFormat="1" applyFont="1" applyFill="1" applyBorder="1" applyAlignment="1" applyProtection="1">
      <alignment horizontal="center" vertical="center"/>
    </xf>
    <xf numFmtId="3" fontId="16" fillId="0" borderId="8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 applyProtection="1">
      <alignment horizontal="center" wrapText="1"/>
    </xf>
    <xf numFmtId="3" fontId="16" fillId="0" borderId="1" xfId="0" applyNumberFormat="1" applyFont="1" applyFill="1" applyBorder="1" applyAlignment="1" applyProtection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/>
    <xf numFmtId="0" fontId="0" fillId="0" borderId="0" xfId="0" applyAlignment="1"/>
    <xf numFmtId="3" fontId="12" fillId="0" borderId="0" xfId="0" applyNumberFormat="1" applyFont="1"/>
    <xf numFmtId="4" fontId="7" fillId="0" borderId="0" xfId="0" applyNumberFormat="1" applyFont="1" applyFill="1"/>
    <xf numFmtId="3" fontId="7" fillId="0" borderId="0" xfId="0" applyNumberFormat="1" applyFont="1" applyFill="1"/>
    <xf numFmtId="3" fontId="12" fillId="0" borderId="0" xfId="0" applyNumberFormat="1" applyFont="1" applyFill="1"/>
    <xf numFmtId="4" fontId="9" fillId="0" borderId="1" xfId="0" applyNumberFormat="1" applyFont="1" applyFill="1" applyBorder="1" applyAlignment="1" applyProtection="1">
      <alignment horizontal="center" wrapText="1"/>
    </xf>
    <xf numFmtId="4" fontId="9" fillId="2" borderId="1" xfId="0" applyNumberFormat="1" applyFont="1" applyFill="1" applyBorder="1" applyAlignment="1" applyProtection="1">
      <alignment horizontal="center" wrapText="1"/>
    </xf>
    <xf numFmtId="4" fontId="12" fillId="0" borderId="0" xfId="0" applyNumberFormat="1" applyFont="1" applyFill="1"/>
    <xf numFmtId="4" fontId="7" fillId="0" borderId="0" xfId="0" applyNumberFormat="1" applyFont="1"/>
    <xf numFmtId="4" fontId="0" fillId="0" borderId="0" xfId="0" applyNumberFormat="1" applyFill="1"/>
    <xf numFmtId="4" fontId="16" fillId="8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6" fillId="5" borderId="5" xfId="0" applyNumberFormat="1" applyFont="1" applyFill="1" applyBorder="1" applyAlignment="1" applyProtection="1">
      <alignment horizontal="center" vertical="center"/>
    </xf>
    <xf numFmtId="0" fontId="16" fillId="5" borderId="6" xfId="0" applyNumberFormat="1" applyFont="1" applyFill="1" applyBorder="1" applyAlignment="1" applyProtection="1">
      <alignment horizontal="center" vertical="center"/>
    </xf>
    <xf numFmtId="0" fontId="16" fillId="8" borderId="5" xfId="0" applyNumberFormat="1" applyFont="1" applyFill="1" applyBorder="1" applyAlignment="1" applyProtection="1">
      <alignment horizontal="center" vertical="center"/>
    </xf>
    <xf numFmtId="0" fontId="16" fillId="8" borderId="6" xfId="0" applyNumberFormat="1" applyFont="1" applyFill="1" applyBorder="1" applyAlignment="1" applyProtection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E35"/>
  <sheetViews>
    <sheetView tabSelected="1" topLeftCell="A7" workbookViewId="0">
      <selection activeCell="E25" sqref="E25"/>
    </sheetView>
  </sheetViews>
  <sheetFormatPr defaultRowHeight="15" x14ac:dyDescent="0.25"/>
  <cols>
    <col min="1" max="1" width="24.42578125" style="58" customWidth="1"/>
    <col min="2" max="2" width="9.7109375" style="59" hidden="1" customWidth="1"/>
    <col min="3" max="3" width="10.42578125" style="59" hidden="1" customWidth="1"/>
    <col min="4" max="4" width="11.28515625" style="59" hidden="1" customWidth="1"/>
    <col min="5" max="5" width="10.7109375" style="59" customWidth="1"/>
    <col min="6" max="7" width="9.7109375" style="59" hidden="1" customWidth="1"/>
    <col min="8" max="8" width="8.7109375" style="59" hidden="1" customWidth="1"/>
    <col min="9" max="9" width="9.7109375" style="60" hidden="1" customWidth="1"/>
    <col min="10" max="10" width="8.7109375" style="60" hidden="1" customWidth="1"/>
    <col min="11" max="11" width="8.5703125" style="59" hidden="1" customWidth="1"/>
    <col min="12" max="12" width="8.7109375" style="59" hidden="1" customWidth="1"/>
    <col min="13" max="13" width="9.7109375" style="59" hidden="1" customWidth="1"/>
    <col min="14" max="14" width="0" hidden="1" customWidth="1"/>
    <col min="15" max="15" width="9.85546875" customWidth="1"/>
    <col min="16" max="16" width="10" hidden="1" customWidth="1"/>
    <col min="17" max="18" width="11.140625" customWidth="1"/>
    <col min="19" max="19" width="10.7109375" customWidth="1"/>
    <col min="20" max="20" width="8.28515625" customWidth="1"/>
    <col min="21" max="21" width="7.85546875" customWidth="1"/>
    <col min="22" max="22" width="8" customWidth="1"/>
    <col min="23" max="23" width="8.28515625" customWidth="1"/>
    <col min="24" max="24" width="6.85546875" customWidth="1"/>
    <col min="25" max="25" width="0" hidden="1" customWidth="1"/>
    <col min="26" max="26" width="8.140625" customWidth="1"/>
    <col min="27" max="27" width="7" customWidth="1"/>
    <col min="29" max="29" width="10.7109375" bestFit="1" customWidth="1"/>
    <col min="240" max="240" width="7.5703125" customWidth="1"/>
    <col min="241" max="241" width="40.28515625" customWidth="1"/>
    <col min="242" max="245" width="0" hidden="1" customWidth="1"/>
    <col min="246" max="246" width="10.7109375" customWidth="1"/>
    <col min="247" max="254" width="10.28515625" customWidth="1"/>
    <col min="258" max="258" width="12.7109375" bestFit="1" customWidth="1"/>
    <col min="496" max="496" width="7.5703125" customWidth="1"/>
    <col min="497" max="497" width="40.28515625" customWidth="1"/>
    <col min="498" max="501" width="0" hidden="1" customWidth="1"/>
    <col min="502" max="502" width="10.7109375" customWidth="1"/>
    <col min="503" max="510" width="10.28515625" customWidth="1"/>
    <col min="514" max="514" width="12.7109375" bestFit="1" customWidth="1"/>
    <col min="752" max="752" width="7.5703125" customWidth="1"/>
    <col min="753" max="753" width="40.28515625" customWidth="1"/>
    <col min="754" max="757" width="0" hidden="1" customWidth="1"/>
    <col min="758" max="758" width="10.7109375" customWidth="1"/>
    <col min="759" max="766" width="10.28515625" customWidth="1"/>
    <col min="770" max="770" width="12.7109375" bestFit="1" customWidth="1"/>
    <col min="1008" max="1008" width="7.5703125" customWidth="1"/>
    <col min="1009" max="1009" width="40.28515625" customWidth="1"/>
    <col min="1010" max="1013" width="0" hidden="1" customWidth="1"/>
    <col min="1014" max="1014" width="10.7109375" customWidth="1"/>
    <col min="1015" max="1022" width="10.28515625" customWidth="1"/>
    <col min="1026" max="1026" width="12.7109375" bestFit="1" customWidth="1"/>
    <col min="1264" max="1264" width="7.5703125" customWidth="1"/>
    <col min="1265" max="1265" width="40.28515625" customWidth="1"/>
    <col min="1266" max="1269" width="0" hidden="1" customWidth="1"/>
    <col min="1270" max="1270" width="10.7109375" customWidth="1"/>
    <col min="1271" max="1278" width="10.28515625" customWidth="1"/>
    <col min="1282" max="1282" width="12.7109375" bestFit="1" customWidth="1"/>
    <col min="1520" max="1520" width="7.5703125" customWidth="1"/>
    <col min="1521" max="1521" width="40.28515625" customWidth="1"/>
    <col min="1522" max="1525" width="0" hidden="1" customWidth="1"/>
    <col min="1526" max="1526" width="10.7109375" customWidth="1"/>
    <col min="1527" max="1534" width="10.28515625" customWidth="1"/>
    <col min="1538" max="1538" width="12.7109375" bestFit="1" customWidth="1"/>
    <col min="1776" max="1776" width="7.5703125" customWidth="1"/>
    <col min="1777" max="1777" width="40.28515625" customWidth="1"/>
    <col min="1778" max="1781" width="0" hidden="1" customWidth="1"/>
    <col min="1782" max="1782" width="10.7109375" customWidth="1"/>
    <col min="1783" max="1790" width="10.28515625" customWidth="1"/>
    <col min="1794" max="1794" width="12.7109375" bestFit="1" customWidth="1"/>
    <col min="2032" max="2032" width="7.5703125" customWidth="1"/>
    <col min="2033" max="2033" width="40.28515625" customWidth="1"/>
    <col min="2034" max="2037" width="0" hidden="1" customWidth="1"/>
    <col min="2038" max="2038" width="10.7109375" customWidth="1"/>
    <col min="2039" max="2046" width="10.28515625" customWidth="1"/>
    <col min="2050" max="2050" width="12.7109375" bestFit="1" customWidth="1"/>
    <col min="2288" max="2288" width="7.5703125" customWidth="1"/>
    <col min="2289" max="2289" width="40.28515625" customWidth="1"/>
    <col min="2290" max="2293" width="0" hidden="1" customWidth="1"/>
    <col min="2294" max="2294" width="10.7109375" customWidth="1"/>
    <col min="2295" max="2302" width="10.28515625" customWidth="1"/>
    <col min="2306" max="2306" width="12.7109375" bestFit="1" customWidth="1"/>
    <col min="2544" max="2544" width="7.5703125" customWidth="1"/>
    <col min="2545" max="2545" width="40.28515625" customWidth="1"/>
    <col min="2546" max="2549" width="0" hidden="1" customWidth="1"/>
    <col min="2550" max="2550" width="10.7109375" customWidth="1"/>
    <col min="2551" max="2558" width="10.28515625" customWidth="1"/>
    <col min="2562" max="2562" width="12.7109375" bestFit="1" customWidth="1"/>
    <col min="2800" max="2800" width="7.5703125" customWidth="1"/>
    <col min="2801" max="2801" width="40.28515625" customWidth="1"/>
    <col min="2802" max="2805" width="0" hidden="1" customWidth="1"/>
    <col min="2806" max="2806" width="10.7109375" customWidth="1"/>
    <col min="2807" max="2814" width="10.28515625" customWidth="1"/>
    <col min="2818" max="2818" width="12.7109375" bestFit="1" customWidth="1"/>
    <col min="3056" max="3056" width="7.5703125" customWidth="1"/>
    <col min="3057" max="3057" width="40.28515625" customWidth="1"/>
    <col min="3058" max="3061" width="0" hidden="1" customWidth="1"/>
    <col min="3062" max="3062" width="10.7109375" customWidth="1"/>
    <col min="3063" max="3070" width="10.28515625" customWidth="1"/>
    <col min="3074" max="3074" width="12.7109375" bestFit="1" customWidth="1"/>
    <col min="3312" max="3312" width="7.5703125" customWidth="1"/>
    <col min="3313" max="3313" width="40.28515625" customWidth="1"/>
    <col min="3314" max="3317" width="0" hidden="1" customWidth="1"/>
    <col min="3318" max="3318" width="10.7109375" customWidth="1"/>
    <col min="3319" max="3326" width="10.28515625" customWidth="1"/>
    <col min="3330" max="3330" width="12.7109375" bestFit="1" customWidth="1"/>
    <col min="3568" max="3568" width="7.5703125" customWidth="1"/>
    <col min="3569" max="3569" width="40.28515625" customWidth="1"/>
    <col min="3570" max="3573" width="0" hidden="1" customWidth="1"/>
    <col min="3574" max="3574" width="10.7109375" customWidth="1"/>
    <col min="3575" max="3582" width="10.28515625" customWidth="1"/>
    <col min="3586" max="3586" width="12.7109375" bestFit="1" customWidth="1"/>
    <col min="3824" max="3824" width="7.5703125" customWidth="1"/>
    <col min="3825" max="3825" width="40.28515625" customWidth="1"/>
    <col min="3826" max="3829" width="0" hidden="1" customWidth="1"/>
    <col min="3830" max="3830" width="10.7109375" customWidth="1"/>
    <col min="3831" max="3838" width="10.28515625" customWidth="1"/>
    <col min="3842" max="3842" width="12.7109375" bestFit="1" customWidth="1"/>
    <col min="4080" max="4080" width="7.5703125" customWidth="1"/>
    <col min="4081" max="4081" width="40.28515625" customWidth="1"/>
    <col min="4082" max="4085" width="0" hidden="1" customWidth="1"/>
    <col min="4086" max="4086" width="10.7109375" customWidth="1"/>
    <col min="4087" max="4094" width="10.28515625" customWidth="1"/>
    <col min="4098" max="4098" width="12.7109375" bestFit="1" customWidth="1"/>
    <col min="4336" max="4336" width="7.5703125" customWidth="1"/>
    <col min="4337" max="4337" width="40.28515625" customWidth="1"/>
    <col min="4338" max="4341" width="0" hidden="1" customWidth="1"/>
    <col min="4342" max="4342" width="10.7109375" customWidth="1"/>
    <col min="4343" max="4350" width="10.28515625" customWidth="1"/>
    <col min="4354" max="4354" width="12.7109375" bestFit="1" customWidth="1"/>
    <col min="4592" max="4592" width="7.5703125" customWidth="1"/>
    <col min="4593" max="4593" width="40.28515625" customWidth="1"/>
    <col min="4594" max="4597" width="0" hidden="1" customWidth="1"/>
    <col min="4598" max="4598" width="10.7109375" customWidth="1"/>
    <col min="4599" max="4606" width="10.28515625" customWidth="1"/>
    <col min="4610" max="4610" width="12.7109375" bestFit="1" customWidth="1"/>
    <col min="4848" max="4848" width="7.5703125" customWidth="1"/>
    <col min="4849" max="4849" width="40.28515625" customWidth="1"/>
    <col min="4850" max="4853" width="0" hidden="1" customWidth="1"/>
    <col min="4854" max="4854" width="10.7109375" customWidth="1"/>
    <col min="4855" max="4862" width="10.28515625" customWidth="1"/>
    <col min="4866" max="4866" width="12.7109375" bestFit="1" customWidth="1"/>
    <col min="5104" max="5104" width="7.5703125" customWidth="1"/>
    <col min="5105" max="5105" width="40.28515625" customWidth="1"/>
    <col min="5106" max="5109" width="0" hidden="1" customWidth="1"/>
    <col min="5110" max="5110" width="10.7109375" customWidth="1"/>
    <col min="5111" max="5118" width="10.28515625" customWidth="1"/>
    <col min="5122" max="5122" width="12.7109375" bestFit="1" customWidth="1"/>
    <col min="5360" max="5360" width="7.5703125" customWidth="1"/>
    <col min="5361" max="5361" width="40.28515625" customWidth="1"/>
    <col min="5362" max="5365" width="0" hidden="1" customWidth="1"/>
    <col min="5366" max="5366" width="10.7109375" customWidth="1"/>
    <col min="5367" max="5374" width="10.28515625" customWidth="1"/>
    <col min="5378" max="5378" width="12.7109375" bestFit="1" customWidth="1"/>
    <col min="5616" max="5616" width="7.5703125" customWidth="1"/>
    <col min="5617" max="5617" width="40.28515625" customWidth="1"/>
    <col min="5618" max="5621" width="0" hidden="1" customWidth="1"/>
    <col min="5622" max="5622" width="10.7109375" customWidth="1"/>
    <col min="5623" max="5630" width="10.28515625" customWidth="1"/>
    <col min="5634" max="5634" width="12.7109375" bestFit="1" customWidth="1"/>
    <col min="5872" max="5872" width="7.5703125" customWidth="1"/>
    <col min="5873" max="5873" width="40.28515625" customWidth="1"/>
    <col min="5874" max="5877" width="0" hidden="1" customWidth="1"/>
    <col min="5878" max="5878" width="10.7109375" customWidth="1"/>
    <col min="5879" max="5886" width="10.28515625" customWidth="1"/>
    <col min="5890" max="5890" width="12.7109375" bestFit="1" customWidth="1"/>
    <col min="6128" max="6128" width="7.5703125" customWidth="1"/>
    <col min="6129" max="6129" width="40.28515625" customWidth="1"/>
    <col min="6130" max="6133" width="0" hidden="1" customWidth="1"/>
    <col min="6134" max="6134" width="10.7109375" customWidth="1"/>
    <col min="6135" max="6142" width="10.28515625" customWidth="1"/>
    <col min="6146" max="6146" width="12.7109375" bestFit="1" customWidth="1"/>
    <col min="6384" max="6384" width="7.5703125" customWidth="1"/>
    <col min="6385" max="6385" width="40.28515625" customWidth="1"/>
    <col min="6386" max="6389" width="0" hidden="1" customWidth="1"/>
    <col min="6390" max="6390" width="10.7109375" customWidth="1"/>
    <col min="6391" max="6398" width="10.28515625" customWidth="1"/>
    <col min="6402" max="6402" width="12.7109375" bestFit="1" customWidth="1"/>
    <col min="6640" max="6640" width="7.5703125" customWidth="1"/>
    <col min="6641" max="6641" width="40.28515625" customWidth="1"/>
    <col min="6642" max="6645" width="0" hidden="1" customWidth="1"/>
    <col min="6646" max="6646" width="10.7109375" customWidth="1"/>
    <col min="6647" max="6654" width="10.28515625" customWidth="1"/>
    <col min="6658" max="6658" width="12.7109375" bestFit="1" customWidth="1"/>
    <col min="6896" max="6896" width="7.5703125" customWidth="1"/>
    <col min="6897" max="6897" width="40.28515625" customWidth="1"/>
    <col min="6898" max="6901" width="0" hidden="1" customWidth="1"/>
    <col min="6902" max="6902" width="10.7109375" customWidth="1"/>
    <col min="6903" max="6910" width="10.28515625" customWidth="1"/>
    <col min="6914" max="6914" width="12.7109375" bestFit="1" customWidth="1"/>
    <col min="7152" max="7152" width="7.5703125" customWidth="1"/>
    <col min="7153" max="7153" width="40.28515625" customWidth="1"/>
    <col min="7154" max="7157" width="0" hidden="1" customWidth="1"/>
    <col min="7158" max="7158" width="10.7109375" customWidth="1"/>
    <col min="7159" max="7166" width="10.28515625" customWidth="1"/>
    <col min="7170" max="7170" width="12.7109375" bestFit="1" customWidth="1"/>
    <col min="7408" max="7408" width="7.5703125" customWidth="1"/>
    <col min="7409" max="7409" width="40.28515625" customWidth="1"/>
    <col min="7410" max="7413" width="0" hidden="1" customWidth="1"/>
    <col min="7414" max="7414" width="10.7109375" customWidth="1"/>
    <col min="7415" max="7422" width="10.28515625" customWidth="1"/>
    <col min="7426" max="7426" width="12.7109375" bestFit="1" customWidth="1"/>
    <col min="7664" max="7664" width="7.5703125" customWidth="1"/>
    <col min="7665" max="7665" width="40.28515625" customWidth="1"/>
    <col min="7666" max="7669" width="0" hidden="1" customWidth="1"/>
    <col min="7670" max="7670" width="10.7109375" customWidth="1"/>
    <col min="7671" max="7678" width="10.28515625" customWidth="1"/>
    <col min="7682" max="7682" width="12.7109375" bestFit="1" customWidth="1"/>
    <col min="7920" max="7920" width="7.5703125" customWidth="1"/>
    <col min="7921" max="7921" width="40.28515625" customWidth="1"/>
    <col min="7922" max="7925" width="0" hidden="1" customWidth="1"/>
    <col min="7926" max="7926" width="10.7109375" customWidth="1"/>
    <col min="7927" max="7934" width="10.28515625" customWidth="1"/>
    <col min="7938" max="7938" width="12.7109375" bestFit="1" customWidth="1"/>
    <col min="8176" max="8176" width="7.5703125" customWidth="1"/>
    <col min="8177" max="8177" width="40.28515625" customWidth="1"/>
    <col min="8178" max="8181" width="0" hidden="1" customWidth="1"/>
    <col min="8182" max="8182" width="10.7109375" customWidth="1"/>
    <col min="8183" max="8190" width="10.28515625" customWidth="1"/>
    <col min="8194" max="8194" width="12.7109375" bestFit="1" customWidth="1"/>
    <col min="8432" max="8432" width="7.5703125" customWidth="1"/>
    <col min="8433" max="8433" width="40.28515625" customWidth="1"/>
    <col min="8434" max="8437" width="0" hidden="1" customWidth="1"/>
    <col min="8438" max="8438" width="10.7109375" customWidth="1"/>
    <col min="8439" max="8446" width="10.28515625" customWidth="1"/>
    <col min="8450" max="8450" width="12.7109375" bestFit="1" customWidth="1"/>
    <col min="8688" max="8688" width="7.5703125" customWidth="1"/>
    <col min="8689" max="8689" width="40.28515625" customWidth="1"/>
    <col min="8690" max="8693" width="0" hidden="1" customWidth="1"/>
    <col min="8694" max="8694" width="10.7109375" customWidth="1"/>
    <col min="8695" max="8702" width="10.28515625" customWidth="1"/>
    <col min="8706" max="8706" width="12.7109375" bestFit="1" customWidth="1"/>
    <col min="8944" max="8944" width="7.5703125" customWidth="1"/>
    <col min="8945" max="8945" width="40.28515625" customWidth="1"/>
    <col min="8946" max="8949" width="0" hidden="1" customWidth="1"/>
    <col min="8950" max="8950" width="10.7109375" customWidth="1"/>
    <col min="8951" max="8958" width="10.28515625" customWidth="1"/>
    <col min="8962" max="8962" width="12.7109375" bestFit="1" customWidth="1"/>
    <col min="9200" max="9200" width="7.5703125" customWidth="1"/>
    <col min="9201" max="9201" width="40.28515625" customWidth="1"/>
    <col min="9202" max="9205" width="0" hidden="1" customWidth="1"/>
    <col min="9206" max="9206" width="10.7109375" customWidth="1"/>
    <col min="9207" max="9214" width="10.28515625" customWidth="1"/>
    <col min="9218" max="9218" width="12.7109375" bestFit="1" customWidth="1"/>
    <col min="9456" max="9456" width="7.5703125" customWidth="1"/>
    <col min="9457" max="9457" width="40.28515625" customWidth="1"/>
    <col min="9458" max="9461" width="0" hidden="1" customWidth="1"/>
    <col min="9462" max="9462" width="10.7109375" customWidth="1"/>
    <col min="9463" max="9470" width="10.28515625" customWidth="1"/>
    <col min="9474" max="9474" width="12.7109375" bestFit="1" customWidth="1"/>
    <col min="9712" max="9712" width="7.5703125" customWidth="1"/>
    <col min="9713" max="9713" width="40.28515625" customWidth="1"/>
    <col min="9714" max="9717" width="0" hidden="1" customWidth="1"/>
    <col min="9718" max="9718" width="10.7109375" customWidth="1"/>
    <col min="9719" max="9726" width="10.28515625" customWidth="1"/>
    <col min="9730" max="9730" width="12.7109375" bestFit="1" customWidth="1"/>
    <col min="9968" max="9968" width="7.5703125" customWidth="1"/>
    <col min="9969" max="9969" width="40.28515625" customWidth="1"/>
    <col min="9970" max="9973" width="0" hidden="1" customWidth="1"/>
    <col min="9974" max="9974" width="10.7109375" customWidth="1"/>
    <col min="9975" max="9982" width="10.28515625" customWidth="1"/>
    <col min="9986" max="9986" width="12.7109375" bestFit="1" customWidth="1"/>
    <col min="10224" max="10224" width="7.5703125" customWidth="1"/>
    <col min="10225" max="10225" width="40.28515625" customWidth="1"/>
    <col min="10226" max="10229" width="0" hidden="1" customWidth="1"/>
    <col min="10230" max="10230" width="10.7109375" customWidth="1"/>
    <col min="10231" max="10238" width="10.28515625" customWidth="1"/>
    <col min="10242" max="10242" width="12.7109375" bestFit="1" customWidth="1"/>
    <col min="10480" max="10480" width="7.5703125" customWidth="1"/>
    <col min="10481" max="10481" width="40.28515625" customWidth="1"/>
    <col min="10482" max="10485" width="0" hidden="1" customWidth="1"/>
    <col min="10486" max="10486" width="10.7109375" customWidth="1"/>
    <col min="10487" max="10494" width="10.28515625" customWidth="1"/>
    <col min="10498" max="10498" width="12.7109375" bestFit="1" customWidth="1"/>
    <col min="10736" max="10736" width="7.5703125" customWidth="1"/>
    <col min="10737" max="10737" width="40.28515625" customWidth="1"/>
    <col min="10738" max="10741" width="0" hidden="1" customWidth="1"/>
    <col min="10742" max="10742" width="10.7109375" customWidth="1"/>
    <col min="10743" max="10750" width="10.28515625" customWidth="1"/>
    <col min="10754" max="10754" width="12.7109375" bestFit="1" customWidth="1"/>
    <col min="10992" max="10992" width="7.5703125" customWidth="1"/>
    <col min="10993" max="10993" width="40.28515625" customWidth="1"/>
    <col min="10994" max="10997" width="0" hidden="1" customWidth="1"/>
    <col min="10998" max="10998" width="10.7109375" customWidth="1"/>
    <col min="10999" max="11006" width="10.28515625" customWidth="1"/>
    <col min="11010" max="11010" width="12.7109375" bestFit="1" customWidth="1"/>
    <col min="11248" max="11248" width="7.5703125" customWidth="1"/>
    <col min="11249" max="11249" width="40.28515625" customWidth="1"/>
    <col min="11250" max="11253" width="0" hidden="1" customWidth="1"/>
    <col min="11254" max="11254" width="10.7109375" customWidth="1"/>
    <col min="11255" max="11262" width="10.28515625" customWidth="1"/>
    <col min="11266" max="11266" width="12.7109375" bestFit="1" customWidth="1"/>
    <col min="11504" max="11504" width="7.5703125" customWidth="1"/>
    <col min="11505" max="11505" width="40.28515625" customWidth="1"/>
    <col min="11506" max="11509" width="0" hidden="1" customWidth="1"/>
    <col min="11510" max="11510" width="10.7109375" customWidth="1"/>
    <col min="11511" max="11518" width="10.28515625" customWidth="1"/>
    <col min="11522" max="11522" width="12.7109375" bestFit="1" customWidth="1"/>
    <col min="11760" max="11760" width="7.5703125" customWidth="1"/>
    <col min="11761" max="11761" width="40.28515625" customWidth="1"/>
    <col min="11762" max="11765" width="0" hidden="1" customWidth="1"/>
    <col min="11766" max="11766" width="10.7109375" customWidth="1"/>
    <col min="11767" max="11774" width="10.28515625" customWidth="1"/>
    <col min="11778" max="11778" width="12.7109375" bestFit="1" customWidth="1"/>
    <col min="12016" max="12016" width="7.5703125" customWidth="1"/>
    <col min="12017" max="12017" width="40.28515625" customWidth="1"/>
    <col min="12018" max="12021" width="0" hidden="1" customWidth="1"/>
    <col min="12022" max="12022" width="10.7109375" customWidth="1"/>
    <col min="12023" max="12030" width="10.28515625" customWidth="1"/>
    <col min="12034" max="12034" width="12.7109375" bestFit="1" customWidth="1"/>
    <col min="12272" max="12272" width="7.5703125" customWidth="1"/>
    <col min="12273" max="12273" width="40.28515625" customWidth="1"/>
    <col min="12274" max="12277" width="0" hidden="1" customWidth="1"/>
    <col min="12278" max="12278" width="10.7109375" customWidth="1"/>
    <col min="12279" max="12286" width="10.28515625" customWidth="1"/>
    <col min="12290" max="12290" width="12.7109375" bestFit="1" customWidth="1"/>
    <col min="12528" max="12528" width="7.5703125" customWidth="1"/>
    <col min="12529" max="12529" width="40.28515625" customWidth="1"/>
    <col min="12530" max="12533" width="0" hidden="1" customWidth="1"/>
    <col min="12534" max="12534" width="10.7109375" customWidth="1"/>
    <col min="12535" max="12542" width="10.28515625" customWidth="1"/>
    <col min="12546" max="12546" width="12.7109375" bestFit="1" customWidth="1"/>
    <col min="12784" max="12784" width="7.5703125" customWidth="1"/>
    <col min="12785" max="12785" width="40.28515625" customWidth="1"/>
    <col min="12786" max="12789" width="0" hidden="1" customWidth="1"/>
    <col min="12790" max="12790" width="10.7109375" customWidth="1"/>
    <col min="12791" max="12798" width="10.28515625" customWidth="1"/>
    <col min="12802" max="12802" width="12.7109375" bestFit="1" customWidth="1"/>
    <col min="13040" max="13040" width="7.5703125" customWidth="1"/>
    <col min="13041" max="13041" width="40.28515625" customWidth="1"/>
    <col min="13042" max="13045" width="0" hidden="1" customWidth="1"/>
    <col min="13046" max="13046" width="10.7109375" customWidth="1"/>
    <col min="13047" max="13054" width="10.28515625" customWidth="1"/>
    <col min="13058" max="13058" width="12.7109375" bestFit="1" customWidth="1"/>
    <col min="13296" max="13296" width="7.5703125" customWidth="1"/>
    <col min="13297" max="13297" width="40.28515625" customWidth="1"/>
    <col min="13298" max="13301" width="0" hidden="1" customWidth="1"/>
    <col min="13302" max="13302" width="10.7109375" customWidth="1"/>
    <col min="13303" max="13310" width="10.28515625" customWidth="1"/>
    <col min="13314" max="13314" width="12.7109375" bestFit="1" customWidth="1"/>
    <col min="13552" max="13552" width="7.5703125" customWidth="1"/>
    <col min="13553" max="13553" width="40.28515625" customWidth="1"/>
    <col min="13554" max="13557" width="0" hidden="1" customWidth="1"/>
    <col min="13558" max="13558" width="10.7109375" customWidth="1"/>
    <col min="13559" max="13566" width="10.28515625" customWidth="1"/>
    <col min="13570" max="13570" width="12.7109375" bestFit="1" customWidth="1"/>
    <col min="13808" max="13808" width="7.5703125" customWidth="1"/>
    <col min="13809" max="13809" width="40.28515625" customWidth="1"/>
    <col min="13810" max="13813" width="0" hidden="1" customWidth="1"/>
    <col min="13814" max="13814" width="10.7109375" customWidth="1"/>
    <col min="13815" max="13822" width="10.28515625" customWidth="1"/>
    <col min="13826" max="13826" width="12.7109375" bestFit="1" customWidth="1"/>
    <col min="14064" max="14064" width="7.5703125" customWidth="1"/>
    <col min="14065" max="14065" width="40.28515625" customWidth="1"/>
    <col min="14066" max="14069" width="0" hidden="1" customWidth="1"/>
    <col min="14070" max="14070" width="10.7109375" customWidth="1"/>
    <col min="14071" max="14078" width="10.28515625" customWidth="1"/>
    <col min="14082" max="14082" width="12.7109375" bestFit="1" customWidth="1"/>
    <col min="14320" max="14320" width="7.5703125" customWidth="1"/>
    <col min="14321" max="14321" width="40.28515625" customWidth="1"/>
    <col min="14322" max="14325" width="0" hidden="1" customWidth="1"/>
    <col min="14326" max="14326" width="10.7109375" customWidth="1"/>
    <col min="14327" max="14334" width="10.28515625" customWidth="1"/>
    <col min="14338" max="14338" width="12.7109375" bestFit="1" customWidth="1"/>
    <col min="14576" max="14576" width="7.5703125" customWidth="1"/>
    <col min="14577" max="14577" width="40.28515625" customWidth="1"/>
    <col min="14578" max="14581" width="0" hidden="1" customWidth="1"/>
    <col min="14582" max="14582" width="10.7109375" customWidth="1"/>
    <col min="14583" max="14590" width="10.28515625" customWidth="1"/>
    <col min="14594" max="14594" width="12.7109375" bestFit="1" customWidth="1"/>
    <col min="14832" max="14832" width="7.5703125" customWidth="1"/>
    <col min="14833" max="14833" width="40.28515625" customWidth="1"/>
    <col min="14834" max="14837" width="0" hidden="1" customWidth="1"/>
    <col min="14838" max="14838" width="10.7109375" customWidth="1"/>
    <col min="14839" max="14846" width="10.28515625" customWidth="1"/>
    <col min="14850" max="14850" width="12.7109375" bestFit="1" customWidth="1"/>
    <col min="15088" max="15088" width="7.5703125" customWidth="1"/>
    <col min="15089" max="15089" width="40.28515625" customWidth="1"/>
    <col min="15090" max="15093" width="0" hidden="1" customWidth="1"/>
    <col min="15094" max="15094" width="10.7109375" customWidth="1"/>
    <col min="15095" max="15102" width="10.28515625" customWidth="1"/>
    <col min="15106" max="15106" width="12.7109375" bestFit="1" customWidth="1"/>
    <col min="15344" max="15344" width="7.5703125" customWidth="1"/>
    <col min="15345" max="15345" width="40.28515625" customWidth="1"/>
    <col min="15346" max="15349" width="0" hidden="1" customWidth="1"/>
    <col min="15350" max="15350" width="10.7109375" customWidth="1"/>
    <col min="15351" max="15358" width="10.28515625" customWidth="1"/>
    <col min="15362" max="15362" width="12.7109375" bestFit="1" customWidth="1"/>
    <col min="15600" max="15600" width="7.5703125" customWidth="1"/>
    <col min="15601" max="15601" width="40.28515625" customWidth="1"/>
    <col min="15602" max="15605" width="0" hidden="1" customWidth="1"/>
    <col min="15606" max="15606" width="10.7109375" customWidth="1"/>
    <col min="15607" max="15614" width="10.28515625" customWidth="1"/>
    <col min="15618" max="15618" width="12.7109375" bestFit="1" customWidth="1"/>
    <col min="15856" max="15856" width="7.5703125" customWidth="1"/>
    <col min="15857" max="15857" width="40.28515625" customWidth="1"/>
    <col min="15858" max="15861" width="0" hidden="1" customWidth="1"/>
    <col min="15862" max="15862" width="10.7109375" customWidth="1"/>
    <col min="15863" max="15870" width="10.28515625" customWidth="1"/>
    <col min="15874" max="15874" width="12.7109375" bestFit="1" customWidth="1"/>
    <col min="16112" max="16112" width="7.5703125" customWidth="1"/>
    <col min="16113" max="16113" width="40.28515625" customWidth="1"/>
    <col min="16114" max="16117" width="0" hidden="1" customWidth="1"/>
    <col min="16118" max="16118" width="10.7109375" customWidth="1"/>
    <col min="16119" max="16126" width="10.28515625" customWidth="1"/>
    <col min="16130" max="16130" width="12.7109375" bestFit="1" customWidth="1"/>
  </cols>
  <sheetData>
    <row r="1" spans="1:31" x14ac:dyDescent="0.25">
      <c r="A1" s="1" t="s">
        <v>0</v>
      </c>
      <c r="C1" s="71"/>
    </row>
    <row r="2" spans="1:31" x14ac:dyDescent="0.25">
      <c r="A2" s="1" t="s">
        <v>1</v>
      </c>
      <c r="C2" s="71"/>
    </row>
    <row r="3" spans="1:31" x14ac:dyDescent="0.25">
      <c r="A3" s="1" t="s">
        <v>2</v>
      </c>
      <c r="C3" s="71"/>
      <c r="F3" s="61"/>
    </row>
    <row r="4" spans="1:31" x14ac:dyDescent="0.25">
      <c r="A4" s="1" t="s">
        <v>213</v>
      </c>
      <c r="C4" s="71"/>
      <c r="G4" s="61"/>
    </row>
    <row r="5" spans="1:31" x14ac:dyDescent="0.25">
      <c r="A5" s="1" t="s">
        <v>214</v>
      </c>
      <c r="C5" s="71"/>
    </row>
    <row r="6" spans="1:31" x14ac:dyDescent="0.25">
      <c r="A6" s="1" t="s">
        <v>215</v>
      </c>
      <c r="C6" s="71"/>
    </row>
    <row r="7" spans="1:31" x14ac:dyDescent="0.25">
      <c r="A7" s="4"/>
      <c r="C7" s="71"/>
    </row>
    <row r="8" spans="1:31" ht="15" customHeight="1" x14ac:dyDescent="0.25">
      <c r="A8" s="88" t="s">
        <v>197</v>
      </c>
      <c r="C8" s="87"/>
    </row>
    <row r="9" spans="1:31" ht="15" customHeight="1" x14ac:dyDescent="0.25">
      <c r="A9" s="87" t="s">
        <v>3</v>
      </c>
      <c r="C9" s="87"/>
    </row>
    <row r="10" spans="1:31" x14ac:dyDescent="0.25">
      <c r="A10" s="4"/>
      <c r="C10" s="71"/>
    </row>
    <row r="11" spans="1:31" ht="67.5" customHeight="1" x14ac:dyDescent="0.25">
      <c r="A11" s="5" t="s">
        <v>95</v>
      </c>
      <c r="B11" s="62" t="s">
        <v>112</v>
      </c>
      <c r="C11" s="83" t="s">
        <v>121</v>
      </c>
      <c r="D11" s="97" t="s">
        <v>122</v>
      </c>
      <c r="E11" s="97" t="s">
        <v>118</v>
      </c>
      <c r="F11" s="62" t="s">
        <v>6</v>
      </c>
      <c r="G11" s="62" t="s">
        <v>7</v>
      </c>
      <c r="H11" s="62" t="s">
        <v>8</v>
      </c>
      <c r="I11" s="62" t="s">
        <v>9</v>
      </c>
      <c r="J11" s="62" t="s">
        <v>10</v>
      </c>
      <c r="K11" s="62" t="s">
        <v>11</v>
      </c>
      <c r="L11" s="62" t="s">
        <v>12</v>
      </c>
      <c r="M11" s="62" t="s">
        <v>13</v>
      </c>
      <c r="N11" s="62" t="s">
        <v>167</v>
      </c>
      <c r="O11" s="83" t="s">
        <v>190</v>
      </c>
      <c r="P11" s="97" t="s">
        <v>204</v>
      </c>
      <c r="Q11" s="97" t="s">
        <v>203</v>
      </c>
      <c r="R11" s="97" t="s">
        <v>200</v>
      </c>
      <c r="S11" s="62" t="s">
        <v>6</v>
      </c>
      <c r="T11" s="62" t="s">
        <v>7</v>
      </c>
      <c r="U11" s="62" t="s">
        <v>8</v>
      </c>
      <c r="V11" s="62" t="s">
        <v>9</v>
      </c>
      <c r="W11" s="62" t="s">
        <v>10</v>
      </c>
      <c r="X11" s="62" t="s">
        <v>11</v>
      </c>
      <c r="Y11" s="62" t="s">
        <v>12</v>
      </c>
      <c r="Z11" s="62" t="s">
        <v>13</v>
      </c>
      <c r="AA11" s="62" t="s">
        <v>167</v>
      </c>
    </row>
    <row r="12" spans="1:31" ht="24.75" customHeight="1" x14ac:dyDescent="0.25">
      <c r="A12" s="8">
        <v>1</v>
      </c>
      <c r="B12" s="62">
        <v>2</v>
      </c>
      <c r="C12" s="83">
        <v>3</v>
      </c>
      <c r="D12" s="97">
        <v>4</v>
      </c>
      <c r="E12" s="97">
        <v>2</v>
      </c>
      <c r="F12" s="62">
        <v>6</v>
      </c>
      <c r="G12" s="62">
        <v>7</v>
      </c>
      <c r="H12" s="62">
        <v>8</v>
      </c>
      <c r="I12" s="62">
        <v>9</v>
      </c>
      <c r="J12" s="62">
        <v>10</v>
      </c>
      <c r="K12" s="62">
        <v>11</v>
      </c>
      <c r="L12" s="62">
        <v>12</v>
      </c>
      <c r="M12" s="62" t="s">
        <v>102</v>
      </c>
      <c r="N12" s="62" t="s">
        <v>186</v>
      </c>
      <c r="O12" s="83">
        <v>3</v>
      </c>
      <c r="P12" s="97">
        <v>4</v>
      </c>
      <c r="Q12" s="97">
        <v>4</v>
      </c>
      <c r="R12" s="97" t="s">
        <v>218</v>
      </c>
      <c r="S12" s="62">
        <v>6</v>
      </c>
      <c r="T12" s="62">
        <v>7</v>
      </c>
      <c r="U12" s="62">
        <v>8</v>
      </c>
      <c r="V12" s="62">
        <v>9</v>
      </c>
      <c r="W12" s="62">
        <v>10</v>
      </c>
      <c r="X12" s="62">
        <v>11</v>
      </c>
      <c r="Y12" s="62">
        <v>12</v>
      </c>
      <c r="Z12" s="62" t="s">
        <v>216</v>
      </c>
      <c r="AA12" s="62" t="s">
        <v>217</v>
      </c>
    </row>
    <row r="13" spans="1:31" s="94" customFormat="1" ht="30" customHeight="1" x14ac:dyDescent="0.2">
      <c r="A13" s="81" t="s">
        <v>96</v>
      </c>
      <c r="B13" s="78">
        <f t="shared" ref="B13:L13" si="0">+B14+B15</f>
        <v>7869452.0300000003</v>
      </c>
      <c r="C13" s="78">
        <f t="shared" si="0"/>
        <v>9130124</v>
      </c>
      <c r="D13" s="116">
        <f t="shared" si="0"/>
        <v>10191438</v>
      </c>
      <c r="E13" s="116">
        <f t="shared" si="0"/>
        <v>9954207.5500000007</v>
      </c>
      <c r="F13" s="78">
        <f t="shared" si="0"/>
        <v>9868200.0899999999</v>
      </c>
      <c r="G13" s="78">
        <f t="shared" si="0"/>
        <v>55243.81</v>
      </c>
      <c r="H13" s="78">
        <f t="shared" si="0"/>
        <v>4766</v>
      </c>
      <c r="I13" s="78">
        <f t="shared" si="0"/>
        <v>9035.1200000000008</v>
      </c>
      <c r="J13" s="78">
        <f t="shared" si="0"/>
        <v>16962.53</v>
      </c>
      <c r="K13" s="78">
        <f t="shared" si="0"/>
        <v>0</v>
      </c>
      <c r="L13" s="78">
        <f t="shared" si="0"/>
        <v>0</v>
      </c>
      <c r="M13" s="78">
        <f>SUM(G13:L13)</f>
        <v>86007.459999999992</v>
      </c>
      <c r="N13" s="207">
        <f>+E13/D13*100</f>
        <v>97.67225733993574</v>
      </c>
      <c r="O13" s="78">
        <f>+O14+O15</f>
        <v>9495564</v>
      </c>
      <c r="P13" s="116">
        <f t="shared" ref="P13" si="1">+P14+P15</f>
        <v>9574532</v>
      </c>
      <c r="Q13" s="116">
        <f t="shared" ref="Q13:Y13" si="2">+Q14+Q15</f>
        <v>11980983</v>
      </c>
      <c r="R13" s="116">
        <f>+R14+R15</f>
        <v>11717645.98</v>
      </c>
      <c r="S13" s="78">
        <f t="shared" si="2"/>
        <v>11626629.18</v>
      </c>
      <c r="T13" s="78">
        <f t="shared" si="2"/>
        <v>53639.69</v>
      </c>
      <c r="U13" s="78">
        <f t="shared" si="2"/>
        <v>12918.25</v>
      </c>
      <c r="V13" s="78">
        <f t="shared" si="2"/>
        <v>16732.310000000001</v>
      </c>
      <c r="W13" s="78">
        <f t="shared" si="2"/>
        <v>7726.55</v>
      </c>
      <c r="X13" s="78">
        <f t="shared" si="2"/>
        <v>0</v>
      </c>
      <c r="Y13" s="78">
        <f t="shared" si="2"/>
        <v>0</v>
      </c>
      <c r="Z13" s="78">
        <f>SUM(T13:Y13)</f>
        <v>91016.8</v>
      </c>
      <c r="AA13" s="207">
        <f>+R13/Q13*100</f>
        <v>97.802041618788721</v>
      </c>
    </row>
    <row r="14" spans="1:31" s="94" customFormat="1" ht="15.75" customHeight="1" x14ac:dyDescent="0.2">
      <c r="A14" s="82" t="s">
        <v>15</v>
      </c>
      <c r="B14" s="73">
        <v>7869452.0300000003</v>
      </c>
      <c r="C14" s="79">
        <v>9130124</v>
      </c>
      <c r="D14" s="105">
        <v>10191438</v>
      </c>
      <c r="E14" s="100">
        <v>9954207.5500000007</v>
      </c>
      <c r="F14" s="23">
        <v>9868200.0899999999</v>
      </c>
      <c r="G14" s="23">
        <v>55243.81</v>
      </c>
      <c r="H14" s="23">
        <v>4766</v>
      </c>
      <c r="I14" s="23">
        <v>9035.1200000000008</v>
      </c>
      <c r="J14" s="23">
        <v>16962.53</v>
      </c>
      <c r="K14" s="23"/>
      <c r="L14" s="23"/>
      <c r="M14" s="78">
        <f t="shared" ref="M14:M26" si="3">SUM(G14:L14)</f>
        <v>86007.459999999992</v>
      </c>
      <c r="N14" s="207">
        <f>+E14/D14*100</f>
        <v>97.67225733993574</v>
      </c>
      <c r="O14" s="79">
        <v>9495564</v>
      </c>
      <c r="P14" s="105">
        <v>9574532</v>
      </c>
      <c r="Q14" s="105">
        <v>11980983</v>
      </c>
      <c r="R14" s="100">
        <f>SUM(S14:Y14)</f>
        <v>11717645.98</v>
      </c>
      <c r="S14" s="23">
        <v>11626629.18</v>
      </c>
      <c r="T14" s="23">
        <v>53639.69</v>
      </c>
      <c r="U14" s="23">
        <v>12918.25</v>
      </c>
      <c r="V14" s="23">
        <v>16732.310000000001</v>
      </c>
      <c r="W14" s="23">
        <v>7726.55</v>
      </c>
      <c r="X14" s="23"/>
      <c r="Y14" s="23"/>
      <c r="Z14" s="78">
        <f t="shared" ref="Z14:Z19" si="4">SUM(T14:Y14)</f>
        <v>91016.8</v>
      </c>
      <c r="AA14" s="207">
        <f>+R14/Q14*100</f>
        <v>97.802041618788721</v>
      </c>
      <c r="AC14" s="210"/>
    </row>
    <row r="15" spans="1:31" s="94" customFormat="1" ht="31.5" customHeight="1" x14ac:dyDescent="0.2">
      <c r="A15" s="82" t="s">
        <v>38</v>
      </c>
      <c r="B15" s="23">
        <v>0</v>
      </c>
      <c r="C15" s="79">
        <v>0</v>
      </c>
      <c r="D15" s="105">
        <v>0</v>
      </c>
      <c r="E15" s="105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78">
        <f t="shared" si="3"/>
        <v>0</v>
      </c>
      <c r="N15" s="207"/>
      <c r="O15" s="79">
        <v>0</v>
      </c>
      <c r="P15" s="105">
        <v>0</v>
      </c>
      <c r="Q15" s="105">
        <v>0</v>
      </c>
      <c r="R15" s="100">
        <f>SUM(S15:Y15)</f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78">
        <f t="shared" si="4"/>
        <v>0</v>
      </c>
      <c r="AA15" s="207"/>
      <c r="AD15" s="210"/>
      <c r="AE15" s="210"/>
    </row>
    <row r="16" spans="1:31" s="94" customFormat="1" ht="30" customHeight="1" x14ac:dyDescent="0.2">
      <c r="A16" s="81" t="s">
        <v>97</v>
      </c>
      <c r="B16" s="78">
        <f>+B17+B18</f>
        <v>8178850.3900000006</v>
      </c>
      <c r="C16" s="78">
        <f t="shared" ref="C16:L16" si="5">+C17+C18</f>
        <v>9053624</v>
      </c>
      <c r="D16" s="116">
        <f t="shared" si="5"/>
        <v>10137249</v>
      </c>
      <c r="E16" s="116">
        <f t="shared" si="5"/>
        <v>10003056.26</v>
      </c>
      <c r="F16" s="78">
        <f t="shared" si="5"/>
        <v>9912220.6400000006</v>
      </c>
      <c r="G16" s="78">
        <f t="shared" si="5"/>
        <v>56309.93</v>
      </c>
      <c r="H16" s="78">
        <f t="shared" si="5"/>
        <v>4766</v>
      </c>
      <c r="I16" s="78">
        <f t="shared" si="5"/>
        <v>13547.16</v>
      </c>
      <c r="J16" s="78">
        <f t="shared" si="5"/>
        <v>16212.529999999999</v>
      </c>
      <c r="K16" s="78">
        <f t="shared" si="5"/>
        <v>0</v>
      </c>
      <c r="L16" s="78">
        <f t="shared" si="5"/>
        <v>0</v>
      </c>
      <c r="M16" s="78">
        <f t="shared" si="3"/>
        <v>90835.62</v>
      </c>
      <c r="N16" s="207">
        <f>+E16/D16*100</f>
        <v>98.676241059088127</v>
      </c>
      <c r="O16" s="78">
        <f t="shared" ref="O16:Y16" si="6">+O17+O18</f>
        <v>9418064</v>
      </c>
      <c r="P16" s="116">
        <f t="shared" ref="P16" si="7">+P17+P18</f>
        <v>9471493</v>
      </c>
      <c r="Q16" s="116">
        <f t="shared" si="6"/>
        <v>11877944</v>
      </c>
      <c r="R16" s="116">
        <f>+R17+R18</f>
        <v>11645500.93</v>
      </c>
      <c r="S16" s="78">
        <f t="shared" si="6"/>
        <v>11546685.83</v>
      </c>
      <c r="T16" s="78">
        <f t="shared" si="6"/>
        <v>48281.19</v>
      </c>
      <c r="U16" s="78">
        <f t="shared" si="6"/>
        <v>12918.25</v>
      </c>
      <c r="V16" s="78">
        <f t="shared" si="6"/>
        <v>21923.64</v>
      </c>
      <c r="W16" s="78">
        <f t="shared" si="6"/>
        <v>15692.02</v>
      </c>
      <c r="X16" s="78">
        <f t="shared" si="6"/>
        <v>0</v>
      </c>
      <c r="Y16" s="78">
        <f t="shared" si="6"/>
        <v>0</v>
      </c>
      <c r="Z16" s="78">
        <f t="shared" si="4"/>
        <v>98815.1</v>
      </c>
      <c r="AA16" s="207">
        <f>+R16/Q16*100</f>
        <v>98.04306982757285</v>
      </c>
      <c r="AD16" s="211"/>
      <c r="AE16" s="211"/>
    </row>
    <row r="17" spans="1:31" s="95" customFormat="1" ht="15.75" customHeight="1" x14ac:dyDescent="0.25">
      <c r="A17" s="28" t="s">
        <v>41</v>
      </c>
      <c r="B17" s="23">
        <v>7969701.4500000002</v>
      </c>
      <c r="C17" s="79">
        <v>8992624</v>
      </c>
      <c r="D17" s="105">
        <v>9382649</v>
      </c>
      <c r="E17" s="105">
        <v>9257249.3300000001</v>
      </c>
      <c r="F17" s="23">
        <v>9177213.7100000009</v>
      </c>
      <c r="G17" s="23">
        <v>56309.93</v>
      </c>
      <c r="H17" s="23">
        <v>4766</v>
      </c>
      <c r="I17" s="23">
        <v>13547.16</v>
      </c>
      <c r="J17" s="23">
        <v>5412.53</v>
      </c>
      <c r="K17" s="23"/>
      <c r="L17" s="23"/>
      <c r="M17" s="78">
        <f t="shared" si="3"/>
        <v>80035.62</v>
      </c>
      <c r="N17" s="207">
        <f>+E17/D17*100</f>
        <v>98.663493966362807</v>
      </c>
      <c r="O17" s="79">
        <v>9368064</v>
      </c>
      <c r="P17" s="105">
        <v>9420293</v>
      </c>
      <c r="Q17" s="105">
        <v>9903344</v>
      </c>
      <c r="R17" s="105">
        <f>SUM(S17:Y17)</f>
        <v>9769234.6400000006</v>
      </c>
      <c r="S17" s="23">
        <v>9681708.6799999997</v>
      </c>
      <c r="T17" s="23">
        <v>48281.19</v>
      </c>
      <c r="U17" s="23">
        <v>12918.25</v>
      </c>
      <c r="V17" s="23">
        <v>21923.64</v>
      </c>
      <c r="W17" s="23">
        <v>4402.88</v>
      </c>
      <c r="X17" s="23"/>
      <c r="Y17" s="23"/>
      <c r="Z17" s="78">
        <f t="shared" si="4"/>
        <v>87525.96</v>
      </c>
      <c r="AA17" s="207">
        <f>+R17/Q17*100</f>
        <v>98.645817412785021</v>
      </c>
      <c r="AC17" s="215"/>
      <c r="AD17" s="212"/>
      <c r="AE17" s="212"/>
    </row>
    <row r="18" spans="1:31" s="94" customFormat="1" ht="25.5" customHeight="1" x14ac:dyDescent="0.2">
      <c r="A18" s="75" t="s">
        <v>55</v>
      </c>
      <c r="B18" s="76">
        <v>209148.94</v>
      </c>
      <c r="C18" s="85">
        <v>61000</v>
      </c>
      <c r="D18" s="108">
        <v>754600</v>
      </c>
      <c r="E18" s="108">
        <v>745806.93</v>
      </c>
      <c r="F18" s="76">
        <v>735006.93</v>
      </c>
      <c r="G18" s="76">
        <v>0</v>
      </c>
      <c r="H18" s="76">
        <v>0</v>
      </c>
      <c r="I18" s="76">
        <v>0</v>
      </c>
      <c r="J18" s="76">
        <v>10800</v>
      </c>
      <c r="K18" s="76"/>
      <c r="L18" s="76"/>
      <c r="M18" s="78">
        <f t="shared" si="3"/>
        <v>10800</v>
      </c>
      <c r="N18" s="207">
        <f>+E18/D18*100</f>
        <v>98.834737609329451</v>
      </c>
      <c r="O18" s="85">
        <v>50000</v>
      </c>
      <c r="P18" s="108">
        <v>51200</v>
      </c>
      <c r="Q18" s="108">
        <v>1974600</v>
      </c>
      <c r="R18" s="105">
        <f>SUM(S18:Y18)</f>
        <v>1876266.2899999998</v>
      </c>
      <c r="S18" s="76">
        <v>1864977.15</v>
      </c>
      <c r="T18" s="76">
        <v>0</v>
      </c>
      <c r="U18" s="76">
        <v>0</v>
      </c>
      <c r="V18" s="76">
        <v>0</v>
      </c>
      <c r="W18" s="76">
        <v>11289.14</v>
      </c>
      <c r="X18" s="76"/>
      <c r="Y18" s="76"/>
      <c r="Z18" s="78">
        <f t="shared" si="4"/>
        <v>11289.14</v>
      </c>
      <c r="AA18" s="207">
        <f>+R18/Q18*100</f>
        <v>95.020069381140473</v>
      </c>
      <c r="AC18" s="210"/>
      <c r="AD18" s="210"/>
      <c r="AE18" s="210"/>
    </row>
    <row r="19" spans="1:31" s="91" customFormat="1" ht="15.75" customHeight="1" x14ac:dyDescent="0.25">
      <c r="A19" s="77" t="s">
        <v>108</v>
      </c>
      <c r="B19" s="84">
        <f>+B13-B16</f>
        <v>-309398.36000000034</v>
      </c>
      <c r="C19" s="84">
        <f t="shared" ref="C19:L19" si="8">+C13-C16</f>
        <v>76500</v>
      </c>
      <c r="D19" s="117">
        <f>+D13-D16</f>
        <v>54189</v>
      </c>
      <c r="E19" s="117">
        <f t="shared" si="8"/>
        <v>-48848.709999999031</v>
      </c>
      <c r="F19" s="84">
        <f t="shared" si="8"/>
        <v>-44020.550000000745</v>
      </c>
      <c r="G19" s="84">
        <f t="shared" si="8"/>
        <v>-1066.1200000000026</v>
      </c>
      <c r="H19" s="84">
        <f t="shared" si="8"/>
        <v>0</v>
      </c>
      <c r="I19" s="84">
        <f t="shared" si="8"/>
        <v>-4512.0399999999991</v>
      </c>
      <c r="J19" s="84">
        <f t="shared" si="8"/>
        <v>750</v>
      </c>
      <c r="K19" s="84">
        <f t="shared" si="8"/>
        <v>0</v>
      </c>
      <c r="L19" s="84">
        <f t="shared" si="8"/>
        <v>0</v>
      </c>
      <c r="M19" s="78">
        <f t="shared" si="3"/>
        <v>-4828.1600000000017</v>
      </c>
      <c r="N19" s="207">
        <f>+E19/D19*100</f>
        <v>-90.145066341875719</v>
      </c>
      <c r="O19" s="84">
        <f t="shared" ref="O19" si="9">+O13-O16</f>
        <v>77500</v>
      </c>
      <c r="P19" s="117">
        <f>+P13-P16</f>
        <v>103039</v>
      </c>
      <c r="Q19" s="117">
        <f>+Q13-Q16</f>
        <v>103039</v>
      </c>
      <c r="R19" s="117">
        <f>SUM(S19:Y19)</f>
        <v>72145.049999999625</v>
      </c>
      <c r="S19" s="84">
        <f t="shared" ref="S19:Y19" si="10">+S13-S16</f>
        <v>79943.349999999627</v>
      </c>
      <c r="T19" s="84">
        <f t="shared" si="10"/>
        <v>5358.5</v>
      </c>
      <c r="U19" s="84">
        <f t="shared" si="10"/>
        <v>0</v>
      </c>
      <c r="V19" s="84">
        <f t="shared" si="10"/>
        <v>-5191.3299999999981</v>
      </c>
      <c r="W19" s="84">
        <f t="shared" si="10"/>
        <v>-7965.47</v>
      </c>
      <c r="X19" s="84">
        <f t="shared" si="10"/>
        <v>0</v>
      </c>
      <c r="Y19" s="84">
        <f t="shared" si="10"/>
        <v>0</v>
      </c>
      <c r="Z19" s="78">
        <f t="shared" si="4"/>
        <v>-7798.2999999999984</v>
      </c>
      <c r="AA19" s="207">
        <f>+R19/Q19*100</f>
        <v>70.01722648705794</v>
      </c>
    </row>
    <row r="20" spans="1:31" s="91" customFormat="1" ht="15.75" customHeight="1" x14ac:dyDescent="0.25">
      <c r="A20" s="80"/>
      <c r="B20" s="86"/>
      <c r="C20" s="86"/>
      <c r="D20" s="118"/>
      <c r="E20" s="118"/>
      <c r="F20" s="86"/>
      <c r="G20" s="86"/>
      <c r="H20" s="86"/>
      <c r="I20" s="86"/>
      <c r="J20" s="86"/>
      <c r="K20" s="86"/>
      <c r="L20" s="86"/>
      <c r="M20" s="78"/>
      <c r="N20" s="207"/>
      <c r="O20" s="86"/>
      <c r="P20" s="118"/>
      <c r="Q20" s="118"/>
      <c r="R20" s="118"/>
      <c r="S20" s="86"/>
      <c r="T20" s="86"/>
      <c r="U20" s="86"/>
      <c r="V20" s="86"/>
      <c r="W20" s="86"/>
      <c r="X20" s="86"/>
      <c r="Y20" s="86"/>
      <c r="Z20" s="78"/>
      <c r="AA20" s="207"/>
    </row>
    <row r="21" spans="1:31" s="91" customFormat="1" ht="21.75" customHeight="1" x14ac:dyDescent="0.25">
      <c r="A21" s="77" t="s">
        <v>98</v>
      </c>
      <c r="B21" s="84">
        <v>255208.05</v>
      </c>
      <c r="C21" s="84">
        <v>-76500</v>
      </c>
      <c r="D21" s="117">
        <v>-54189</v>
      </c>
      <c r="E21" s="117">
        <v>-54190.31</v>
      </c>
      <c r="F21" s="84">
        <v>-73325.39</v>
      </c>
      <c r="G21" s="84">
        <v>-6592.49</v>
      </c>
      <c r="H21" s="84">
        <v>0</v>
      </c>
      <c r="I21" s="84">
        <v>17811.689999999999</v>
      </c>
      <c r="J21" s="84">
        <v>7915.88</v>
      </c>
      <c r="K21" s="84">
        <v>0</v>
      </c>
      <c r="L21" s="84">
        <v>0</v>
      </c>
      <c r="M21" s="78">
        <f t="shared" si="3"/>
        <v>19135.079999999998</v>
      </c>
      <c r="N21" s="207">
        <f>+E21/D21*100</f>
        <v>100.00241746479912</v>
      </c>
      <c r="O21" s="84">
        <v>-77500</v>
      </c>
      <c r="P21" s="117">
        <v>-103039</v>
      </c>
      <c r="Q21" s="117">
        <v>-103039</v>
      </c>
      <c r="R21" s="117">
        <f>SUM(S21:Y21)</f>
        <v>-103039.02</v>
      </c>
      <c r="S21" s="84">
        <v>-117345.94</v>
      </c>
      <c r="T21" s="84">
        <v>-7658.61</v>
      </c>
      <c r="U21" s="84">
        <v>0</v>
      </c>
      <c r="V21" s="84">
        <v>13299.65</v>
      </c>
      <c r="W21" s="84">
        <v>8665.8799999999992</v>
      </c>
      <c r="X21" s="84">
        <v>0</v>
      </c>
      <c r="Y21" s="84">
        <v>0</v>
      </c>
      <c r="Z21" s="78">
        <f t="shared" ref="Z21" si="11">SUM(T21:Y21)</f>
        <v>14306.919999999998</v>
      </c>
      <c r="AA21" s="207">
        <f>+R21/Q21*100</f>
        <v>100.00001941012626</v>
      </c>
    </row>
    <row r="22" spans="1:31" s="91" customFormat="1" ht="15.75" customHeight="1" x14ac:dyDescent="0.25">
      <c r="A22" s="80"/>
      <c r="B22" s="86"/>
      <c r="C22" s="86"/>
      <c r="D22" s="118"/>
      <c r="E22" s="118"/>
      <c r="F22" s="86"/>
      <c r="G22" s="86"/>
      <c r="H22" s="86"/>
      <c r="I22" s="86"/>
      <c r="J22" s="86"/>
      <c r="K22" s="86"/>
      <c r="L22" s="86"/>
      <c r="M22" s="78"/>
      <c r="N22" s="207"/>
      <c r="O22" s="86"/>
      <c r="P22" s="118"/>
      <c r="Q22" s="118"/>
      <c r="R22" s="118"/>
      <c r="S22" s="86"/>
      <c r="T22" s="86"/>
      <c r="U22" s="86"/>
      <c r="V22" s="86"/>
      <c r="W22" s="86"/>
      <c r="X22" s="86"/>
      <c r="Y22" s="86"/>
      <c r="Z22" s="78"/>
      <c r="AA22" s="207"/>
    </row>
    <row r="23" spans="1:31" s="94" customFormat="1" ht="25.5" customHeight="1" x14ac:dyDescent="0.2">
      <c r="A23" s="74" t="s">
        <v>99</v>
      </c>
      <c r="B23" s="84">
        <v>0</v>
      </c>
      <c r="C23" s="84">
        <v>0</v>
      </c>
      <c r="D23" s="117">
        <v>0</v>
      </c>
      <c r="E23" s="117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78">
        <f t="shared" si="3"/>
        <v>0</v>
      </c>
      <c r="N23" s="207"/>
      <c r="O23" s="84">
        <v>0</v>
      </c>
      <c r="P23" s="117">
        <v>0</v>
      </c>
      <c r="Q23" s="117">
        <v>0</v>
      </c>
      <c r="R23" s="117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78">
        <f t="shared" ref="Z23:Z26" si="12">SUM(T23:Y23)</f>
        <v>0</v>
      </c>
      <c r="AA23" s="207"/>
    </row>
    <row r="24" spans="1:31" s="94" customFormat="1" ht="41.25" customHeight="1" x14ac:dyDescent="0.2">
      <c r="A24" s="74" t="s">
        <v>100</v>
      </c>
      <c r="B24" s="84">
        <v>0</v>
      </c>
      <c r="C24" s="84">
        <v>0</v>
      </c>
      <c r="D24" s="117">
        <v>0</v>
      </c>
      <c r="E24" s="117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78">
        <f t="shared" si="3"/>
        <v>0</v>
      </c>
      <c r="N24" s="207"/>
      <c r="O24" s="84">
        <v>0</v>
      </c>
      <c r="P24" s="117">
        <v>0</v>
      </c>
      <c r="Q24" s="117">
        <v>0</v>
      </c>
      <c r="R24" s="117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78">
        <f t="shared" si="12"/>
        <v>0</v>
      </c>
      <c r="AA24" s="207"/>
    </row>
    <row r="25" spans="1:31" s="94" customFormat="1" ht="25.5" customHeight="1" x14ac:dyDescent="0.2">
      <c r="A25" s="74" t="s">
        <v>101</v>
      </c>
      <c r="B25" s="84">
        <v>0</v>
      </c>
      <c r="C25" s="84">
        <v>0</v>
      </c>
      <c r="D25" s="117">
        <v>0</v>
      </c>
      <c r="E25" s="117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78">
        <f t="shared" si="3"/>
        <v>0</v>
      </c>
      <c r="N25" s="207"/>
      <c r="O25" s="84">
        <v>0</v>
      </c>
      <c r="P25" s="117">
        <v>0</v>
      </c>
      <c r="Q25" s="117">
        <v>0</v>
      </c>
      <c r="R25" s="117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78">
        <f t="shared" si="12"/>
        <v>0</v>
      </c>
      <c r="AA25" s="207"/>
    </row>
    <row r="26" spans="1:31" s="94" customFormat="1" ht="25.5" customHeight="1" x14ac:dyDescent="0.2">
      <c r="A26" s="74" t="s">
        <v>219</v>
      </c>
      <c r="B26" s="84">
        <f>+B19+B21</f>
        <v>-54190.310000000347</v>
      </c>
      <c r="C26" s="84">
        <f>+C19+C21</f>
        <v>0</v>
      </c>
      <c r="D26" s="117">
        <f t="shared" ref="D26:L26" si="13">+D19+D21</f>
        <v>0</v>
      </c>
      <c r="E26" s="117">
        <f>+E19+E21</f>
        <v>-103039.01999999903</v>
      </c>
      <c r="F26" s="84">
        <f t="shared" si="13"/>
        <v>-117345.94000000074</v>
      </c>
      <c r="G26" s="84">
        <f t="shared" si="13"/>
        <v>-7658.6100000000024</v>
      </c>
      <c r="H26" s="84">
        <f t="shared" si="13"/>
        <v>0</v>
      </c>
      <c r="I26" s="84">
        <f t="shared" si="13"/>
        <v>13299.65</v>
      </c>
      <c r="J26" s="84">
        <f t="shared" si="13"/>
        <v>8665.880000000001</v>
      </c>
      <c r="K26" s="84">
        <f t="shared" si="13"/>
        <v>0</v>
      </c>
      <c r="L26" s="84">
        <f t="shared" si="13"/>
        <v>0</v>
      </c>
      <c r="M26" s="78">
        <f t="shared" si="3"/>
        <v>14306.919999999998</v>
      </c>
      <c r="N26" s="207"/>
      <c r="O26" s="84">
        <f>+O19+O21</f>
        <v>0</v>
      </c>
      <c r="P26" s="117">
        <f t="shared" ref="P26" si="14">+P19+P21</f>
        <v>0</v>
      </c>
      <c r="Q26" s="117">
        <f>+Q19+Q21</f>
        <v>0</v>
      </c>
      <c r="R26" s="117">
        <f>SUM(S26:Y26)</f>
        <v>-30893.970000000376</v>
      </c>
      <c r="S26" s="84">
        <f t="shared" ref="S26:Y26" si="15">+S19+S21</f>
        <v>-37402.590000000375</v>
      </c>
      <c r="T26" s="84">
        <f t="shared" si="15"/>
        <v>-2300.1099999999997</v>
      </c>
      <c r="U26" s="84">
        <f t="shared" si="15"/>
        <v>0</v>
      </c>
      <c r="V26" s="84">
        <f t="shared" si="15"/>
        <v>8108.3200000000015</v>
      </c>
      <c r="W26" s="84">
        <f t="shared" si="15"/>
        <v>700.40999999999894</v>
      </c>
      <c r="X26" s="84">
        <f t="shared" si="15"/>
        <v>0</v>
      </c>
      <c r="Y26" s="84">
        <f t="shared" si="15"/>
        <v>0</v>
      </c>
      <c r="Z26" s="78">
        <f t="shared" si="12"/>
        <v>6508.6200000000008</v>
      </c>
      <c r="AA26" s="207"/>
      <c r="AC26" s="210"/>
    </row>
    <row r="27" spans="1:31" x14ac:dyDescent="0.25">
      <c r="A27" s="72"/>
      <c r="C27" s="61"/>
      <c r="D27" s="70"/>
      <c r="E27" s="93"/>
      <c r="H27" s="70"/>
      <c r="I27" s="115"/>
    </row>
    <row r="28" spans="1:31" x14ac:dyDescent="0.25">
      <c r="A28" s="72"/>
      <c r="C28" s="61"/>
      <c r="D28" s="70"/>
      <c r="H28" s="70"/>
      <c r="T28" s="71" t="s">
        <v>64</v>
      </c>
    </row>
    <row r="29" spans="1:31" x14ac:dyDescent="0.25">
      <c r="A29" s="57" t="s">
        <v>63</v>
      </c>
      <c r="B29" s="110"/>
      <c r="F29" s="71"/>
      <c r="T29" s="71" t="s">
        <v>189</v>
      </c>
      <c r="Y29" s="71" t="s">
        <v>64</v>
      </c>
    </row>
    <row r="30" spans="1:31" x14ac:dyDescent="0.25">
      <c r="A30" s="57" t="s">
        <v>65</v>
      </c>
      <c r="B30" s="71"/>
      <c r="H30" s="70"/>
      <c r="Y30" s="71" t="s">
        <v>189</v>
      </c>
    </row>
    <row r="31" spans="1:31" x14ac:dyDescent="0.25">
      <c r="F31" s="70"/>
    </row>
    <row r="33" spans="1:13" ht="33.75" customHeight="1" x14ac:dyDescent="0.25">
      <c r="A33" s="208" t="s">
        <v>188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</row>
    <row r="34" spans="1:13" ht="29.25" customHeight="1" x14ac:dyDescent="0.25">
      <c r="A34" s="208" t="s">
        <v>107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</row>
    <row r="35" spans="1:13" x14ac:dyDescent="0.25">
      <c r="C35" s="70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W119"/>
  <sheetViews>
    <sheetView workbookViewId="0">
      <pane xSplit="2" ySplit="8" topLeftCell="F27" activePane="bottomRight" state="frozen"/>
      <selection pane="topRight" activeCell="C1" sqref="C1"/>
      <selection pane="bottomLeft" activeCell="A10" sqref="A10"/>
      <selection pane="bottomRight" activeCell="A109" sqref="A109:XFD110"/>
    </sheetView>
  </sheetViews>
  <sheetFormatPr defaultRowHeight="15" x14ac:dyDescent="0.25"/>
  <cols>
    <col min="1" max="1" width="6.85546875" customWidth="1"/>
    <col min="2" max="2" width="31.28515625" style="58" customWidth="1"/>
    <col min="3" max="3" width="9.7109375" style="59" hidden="1" customWidth="1"/>
    <col min="4" max="4" width="9.85546875" hidden="1" customWidth="1"/>
    <col min="5" max="5" width="10.7109375" style="59" hidden="1" customWidth="1"/>
    <col min="6" max="6" width="10.85546875" style="59" customWidth="1"/>
    <col min="7" max="7" width="9.7109375" style="59" hidden="1" customWidth="1"/>
    <col min="8" max="8" width="8.140625" style="59" hidden="1" customWidth="1"/>
    <col min="9" max="9" width="8.5703125" style="59" hidden="1" customWidth="1"/>
    <col min="10" max="10" width="8.42578125" style="60" hidden="1" customWidth="1"/>
    <col min="11" max="11" width="8.85546875" style="60" hidden="1" customWidth="1"/>
    <col min="12" max="13" width="9.7109375" style="59" hidden="1" customWidth="1"/>
    <col min="14" max="14" width="9.85546875" style="59" hidden="1" customWidth="1"/>
    <col min="15" max="15" width="9.85546875" customWidth="1"/>
    <col min="16" max="16" width="10" style="59" customWidth="1"/>
    <col min="17" max="17" width="11.85546875" style="59" customWidth="1"/>
    <col min="18" max="18" width="11.42578125" style="59" customWidth="1"/>
    <col min="19" max="20" width="8.7109375" style="59" customWidth="1"/>
    <col min="22" max="22" width="11.7109375" bestFit="1" customWidth="1"/>
    <col min="203" max="203" width="7.5703125" customWidth="1"/>
    <col min="204" max="204" width="40.28515625" customWidth="1"/>
    <col min="205" max="208" width="0" hidden="1" customWidth="1"/>
    <col min="209" max="209" width="10.7109375" customWidth="1"/>
    <col min="210" max="217" width="10.28515625" customWidth="1"/>
    <col min="221" max="221" width="12.7109375" bestFit="1" customWidth="1"/>
    <col min="459" max="459" width="7.5703125" customWidth="1"/>
    <col min="460" max="460" width="40.28515625" customWidth="1"/>
    <col min="461" max="464" width="0" hidden="1" customWidth="1"/>
    <col min="465" max="465" width="10.7109375" customWidth="1"/>
    <col min="466" max="473" width="10.28515625" customWidth="1"/>
    <col min="477" max="477" width="12.7109375" bestFit="1" customWidth="1"/>
    <col min="715" max="715" width="7.5703125" customWidth="1"/>
    <col min="716" max="716" width="40.28515625" customWidth="1"/>
    <col min="717" max="720" width="0" hidden="1" customWidth="1"/>
    <col min="721" max="721" width="10.7109375" customWidth="1"/>
    <col min="722" max="729" width="10.28515625" customWidth="1"/>
    <col min="733" max="733" width="12.7109375" bestFit="1" customWidth="1"/>
    <col min="971" max="971" width="7.5703125" customWidth="1"/>
    <col min="972" max="972" width="40.28515625" customWidth="1"/>
    <col min="973" max="976" width="0" hidden="1" customWidth="1"/>
    <col min="977" max="977" width="10.7109375" customWidth="1"/>
    <col min="978" max="985" width="10.28515625" customWidth="1"/>
    <col min="989" max="989" width="12.7109375" bestFit="1" customWidth="1"/>
    <col min="1227" max="1227" width="7.5703125" customWidth="1"/>
    <col min="1228" max="1228" width="40.28515625" customWidth="1"/>
    <col min="1229" max="1232" width="0" hidden="1" customWidth="1"/>
    <col min="1233" max="1233" width="10.7109375" customWidth="1"/>
    <col min="1234" max="1241" width="10.28515625" customWidth="1"/>
    <col min="1245" max="1245" width="12.7109375" bestFit="1" customWidth="1"/>
    <col min="1483" max="1483" width="7.5703125" customWidth="1"/>
    <col min="1484" max="1484" width="40.28515625" customWidth="1"/>
    <col min="1485" max="1488" width="0" hidden="1" customWidth="1"/>
    <col min="1489" max="1489" width="10.7109375" customWidth="1"/>
    <col min="1490" max="1497" width="10.28515625" customWidth="1"/>
    <col min="1501" max="1501" width="12.7109375" bestFit="1" customWidth="1"/>
    <col min="1739" max="1739" width="7.5703125" customWidth="1"/>
    <col min="1740" max="1740" width="40.28515625" customWidth="1"/>
    <col min="1741" max="1744" width="0" hidden="1" customWidth="1"/>
    <col min="1745" max="1745" width="10.7109375" customWidth="1"/>
    <col min="1746" max="1753" width="10.28515625" customWidth="1"/>
    <col min="1757" max="1757" width="12.7109375" bestFit="1" customWidth="1"/>
    <col min="1995" max="1995" width="7.5703125" customWidth="1"/>
    <col min="1996" max="1996" width="40.28515625" customWidth="1"/>
    <col min="1997" max="2000" width="0" hidden="1" customWidth="1"/>
    <col min="2001" max="2001" width="10.7109375" customWidth="1"/>
    <col min="2002" max="2009" width="10.28515625" customWidth="1"/>
    <col min="2013" max="2013" width="12.7109375" bestFit="1" customWidth="1"/>
    <col min="2251" max="2251" width="7.5703125" customWidth="1"/>
    <col min="2252" max="2252" width="40.28515625" customWidth="1"/>
    <col min="2253" max="2256" width="0" hidden="1" customWidth="1"/>
    <col min="2257" max="2257" width="10.7109375" customWidth="1"/>
    <col min="2258" max="2265" width="10.28515625" customWidth="1"/>
    <col min="2269" max="2269" width="12.7109375" bestFit="1" customWidth="1"/>
    <col min="2507" max="2507" width="7.5703125" customWidth="1"/>
    <col min="2508" max="2508" width="40.28515625" customWidth="1"/>
    <col min="2509" max="2512" width="0" hidden="1" customWidth="1"/>
    <col min="2513" max="2513" width="10.7109375" customWidth="1"/>
    <col min="2514" max="2521" width="10.28515625" customWidth="1"/>
    <col min="2525" max="2525" width="12.7109375" bestFit="1" customWidth="1"/>
    <col min="2763" max="2763" width="7.5703125" customWidth="1"/>
    <col min="2764" max="2764" width="40.28515625" customWidth="1"/>
    <col min="2765" max="2768" width="0" hidden="1" customWidth="1"/>
    <col min="2769" max="2769" width="10.7109375" customWidth="1"/>
    <col min="2770" max="2777" width="10.28515625" customWidth="1"/>
    <col min="2781" max="2781" width="12.7109375" bestFit="1" customWidth="1"/>
    <col min="3019" max="3019" width="7.5703125" customWidth="1"/>
    <col min="3020" max="3020" width="40.28515625" customWidth="1"/>
    <col min="3021" max="3024" width="0" hidden="1" customWidth="1"/>
    <col min="3025" max="3025" width="10.7109375" customWidth="1"/>
    <col min="3026" max="3033" width="10.28515625" customWidth="1"/>
    <col min="3037" max="3037" width="12.7109375" bestFit="1" customWidth="1"/>
    <col min="3275" max="3275" width="7.5703125" customWidth="1"/>
    <col min="3276" max="3276" width="40.28515625" customWidth="1"/>
    <col min="3277" max="3280" width="0" hidden="1" customWidth="1"/>
    <col min="3281" max="3281" width="10.7109375" customWidth="1"/>
    <col min="3282" max="3289" width="10.28515625" customWidth="1"/>
    <col min="3293" max="3293" width="12.7109375" bestFit="1" customWidth="1"/>
    <col min="3531" max="3531" width="7.5703125" customWidth="1"/>
    <col min="3532" max="3532" width="40.28515625" customWidth="1"/>
    <col min="3533" max="3536" width="0" hidden="1" customWidth="1"/>
    <col min="3537" max="3537" width="10.7109375" customWidth="1"/>
    <col min="3538" max="3545" width="10.28515625" customWidth="1"/>
    <col min="3549" max="3549" width="12.7109375" bestFit="1" customWidth="1"/>
    <col min="3787" max="3787" width="7.5703125" customWidth="1"/>
    <col min="3788" max="3788" width="40.28515625" customWidth="1"/>
    <col min="3789" max="3792" width="0" hidden="1" customWidth="1"/>
    <col min="3793" max="3793" width="10.7109375" customWidth="1"/>
    <col min="3794" max="3801" width="10.28515625" customWidth="1"/>
    <col min="3805" max="3805" width="12.7109375" bestFit="1" customWidth="1"/>
    <col min="4043" max="4043" width="7.5703125" customWidth="1"/>
    <col min="4044" max="4044" width="40.28515625" customWidth="1"/>
    <col min="4045" max="4048" width="0" hidden="1" customWidth="1"/>
    <col min="4049" max="4049" width="10.7109375" customWidth="1"/>
    <col min="4050" max="4057" width="10.28515625" customWidth="1"/>
    <col min="4061" max="4061" width="12.7109375" bestFit="1" customWidth="1"/>
    <col min="4299" max="4299" width="7.5703125" customWidth="1"/>
    <col min="4300" max="4300" width="40.28515625" customWidth="1"/>
    <col min="4301" max="4304" width="0" hidden="1" customWidth="1"/>
    <col min="4305" max="4305" width="10.7109375" customWidth="1"/>
    <col min="4306" max="4313" width="10.28515625" customWidth="1"/>
    <col min="4317" max="4317" width="12.7109375" bestFit="1" customWidth="1"/>
    <col min="4555" max="4555" width="7.5703125" customWidth="1"/>
    <col min="4556" max="4556" width="40.28515625" customWidth="1"/>
    <col min="4557" max="4560" width="0" hidden="1" customWidth="1"/>
    <col min="4561" max="4561" width="10.7109375" customWidth="1"/>
    <col min="4562" max="4569" width="10.28515625" customWidth="1"/>
    <col min="4573" max="4573" width="12.7109375" bestFit="1" customWidth="1"/>
    <col min="4811" max="4811" width="7.5703125" customWidth="1"/>
    <col min="4812" max="4812" width="40.28515625" customWidth="1"/>
    <col min="4813" max="4816" width="0" hidden="1" customWidth="1"/>
    <col min="4817" max="4817" width="10.7109375" customWidth="1"/>
    <col min="4818" max="4825" width="10.28515625" customWidth="1"/>
    <col min="4829" max="4829" width="12.7109375" bestFit="1" customWidth="1"/>
    <col min="5067" max="5067" width="7.5703125" customWidth="1"/>
    <col min="5068" max="5068" width="40.28515625" customWidth="1"/>
    <col min="5069" max="5072" width="0" hidden="1" customWidth="1"/>
    <col min="5073" max="5073" width="10.7109375" customWidth="1"/>
    <col min="5074" max="5081" width="10.28515625" customWidth="1"/>
    <col min="5085" max="5085" width="12.7109375" bestFit="1" customWidth="1"/>
    <col min="5323" max="5323" width="7.5703125" customWidth="1"/>
    <col min="5324" max="5324" width="40.28515625" customWidth="1"/>
    <col min="5325" max="5328" width="0" hidden="1" customWidth="1"/>
    <col min="5329" max="5329" width="10.7109375" customWidth="1"/>
    <col min="5330" max="5337" width="10.28515625" customWidth="1"/>
    <col min="5341" max="5341" width="12.7109375" bestFit="1" customWidth="1"/>
    <col min="5579" max="5579" width="7.5703125" customWidth="1"/>
    <col min="5580" max="5580" width="40.28515625" customWidth="1"/>
    <col min="5581" max="5584" width="0" hidden="1" customWidth="1"/>
    <col min="5585" max="5585" width="10.7109375" customWidth="1"/>
    <col min="5586" max="5593" width="10.28515625" customWidth="1"/>
    <col min="5597" max="5597" width="12.7109375" bestFit="1" customWidth="1"/>
    <col min="5835" max="5835" width="7.5703125" customWidth="1"/>
    <col min="5836" max="5836" width="40.28515625" customWidth="1"/>
    <col min="5837" max="5840" width="0" hidden="1" customWidth="1"/>
    <col min="5841" max="5841" width="10.7109375" customWidth="1"/>
    <col min="5842" max="5849" width="10.28515625" customWidth="1"/>
    <col min="5853" max="5853" width="12.7109375" bestFit="1" customWidth="1"/>
    <col min="6091" max="6091" width="7.5703125" customWidth="1"/>
    <col min="6092" max="6092" width="40.28515625" customWidth="1"/>
    <col min="6093" max="6096" width="0" hidden="1" customWidth="1"/>
    <col min="6097" max="6097" width="10.7109375" customWidth="1"/>
    <col min="6098" max="6105" width="10.28515625" customWidth="1"/>
    <col min="6109" max="6109" width="12.7109375" bestFit="1" customWidth="1"/>
    <col min="6347" max="6347" width="7.5703125" customWidth="1"/>
    <col min="6348" max="6348" width="40.28515625" customWidth="1"/>
    <col min="6349" max="6352" width="0" hidden="1" customWidth="1"/>
    <col min="6353" max="6353" width="10.7109375" customWidth="1"/>
    <col min="6354" max="6361" width="10.28515625" customWidth="1"/>
    <col min="6365" max="6365" width="12.7109375" bestFit="1" customWidth="1"/>
    <col min="6603" max="6603" width="7.5703125" customWidth="1"/>
    <col min="6604" max="6604" width="40.28515625" customWidth="1"/>
    <col min="6605" max="6608" width="0" hidden="1" customWidth="1"/>
    <col min="6609" max="6609" width="10.7109375" customWidth="1"/>
    <col min="6610" max="6617" width="10.28515625" customWidth="1"/>
    <col min="6621" max="6621" width="12.7109375" bestFit="1" customWidth="1"/>
    <col min="6859" max="6859" width="7.5703125" customWidth="1"/>
    <col min="6860" max="6860" width="40.28515625" customWidth="1"/>
    <col min="6861" max="6864" width="0" hidden="1" customWidth="1"/>
    <col min="6865" max="6865" width="10.7109375" customWidth="1"/>
    <col min="6866" max="6873" width="10.28515625" customWidth="1"/>
    <col min="6877" max="6877" width="12.7109375" bestFit="1" customWidth="1"/>
    <col min="7115" max="7115" width="7.5703125" customWidth="1"/>
    <col min="7116" max="7116" width="40.28515625" customWidth="1"/>
    <col min="7117" max="7120" width="0" hidden="1" customWidth="1"/>
    <col min="7121" max="7121" width="10.7109375" customWidth="1"/>
    <col min="7122" max="7129" width="10.28515625" customWidth="1"/>
    <col min="7133" max="7133" width="12.7109375" bestFit="1" customWidth="1"/>
    <col min="7371" max="7371" width="7.5703125" customWidth="1"/>
    <col min="7372" max="7372" width="40.28515625" customWidth="1"/>
    <col min="7373" max="7376" width="0" hidden="1" customWidth="1"/>
    <col min="7377" max="7377" width="10.7109375" customWidth="1"/>
    <col min="7378" max="7385" width="10.28515625" customWidth="1"/>
    <col min="7389" max="7389" width="12.7109375" bestFit="1" customWidth="1"/>
    <col min="7627" max="7627" width="7.5703125" customWidth="1"/>
    <col min="7628" max="7628" width="40.28515625" customWidth="1"/>
    <col min="7629" max="7632" width="0" hidden="1" customWidth="1"/>
    <col min="7633" max="7633" width="10.7109375" customWidth="1"/>
    <col min="7634" max="7641" width="10.28515625" customWidth="1"/>
    <col min="7645" max="7645" width="12.7109375" bestFit="1" customWidth="1"/>
    <col min="7883" max="7883" width="7.5703125" customWidth="1"/>
    <col min="7884" max="7884" width="40.28515625" customWidth="1"/>
    <col min="7885" max="7888" width="0" hidden="1" customWidth="1"/>
    <col min="7889" max="7889" width="10.7109375" customWidth="1"/>
    <col min="7890" max="7897" width="10.28515625" customWidth="1"/>
    <col min="7901" max="7901" width="12.7109375" bestFit="1" customWidth="1"/>
    <col min="8139" max="8139" width="7.5703125" customWidth="1"/>
    <col min="8140" max="8140" width="40.28515625" customWidth="1"/>
    <col min="8141" max="8144" width="0" hidden="1" customWidth="1"/>
    <col min="8145" max="8145" width="10.7109375" customWidth="1"/>
    <col min="8146" max="8153" width="10.28515625" customWidth="1"/>
    <col min="8157" max="8157" width="12.7109375" bestFit="1" customWidth="1"/>
    <col min="8395" max="8395" width="7.5703125" customWidth="1"/>
    <col min="8396" max="8396" width="40.28515625" customWidth="1"/>
    <col min="8397" max="8400" width="0" hidden="1" customWidth="1"/>
    <col min="8401" max="8401" width="10.7109375" customWidth="1"/>
    <col min="8402" max="8409" width="10.28515625" customWidth="1"/>
    <col min="8413" max="8413" width="12.7109375" bestFit="1" customWidth="1"/>
    <col min="8651" max="8651" width="7.5703125" customWidth="1"/>
    <col min="8652" max="8652" width="40.28515625" customWidth="1"/>
    <col min="8653" max="8656" width="0" hidden="1" customWidth="1"/>
    <col min="8657" max="8657" width="10.7109375" customWidth="1"/>
    <col min="8658" max="8665" width="10.28515625" customWidth="1"/>
    <col min="8669" max="8669" width="12.7109375" bestFit="1" customWidth="1"/>
    <col min="8907" max="8907" width="7.5703125" customWidth="1"/>
    <col min="8908" max="8908" width="40.28515625" customWidth="1"/>
    <col min="8909" max="8912" width="0" hidden="1" customWidth="1"/>
    <col min="8913" max="8913" width="10.7109375" customWidth="1"/>
    <col min="8914" max="8921" width="10.28515625" customWidth="1"/>
    <col min="8925" max="8925" width="12.7109375" bestFit="1" customWidth="1"/>
    <col min="9163" max="9163" width="7.5703125" customWidth="1"/>
    <col min="9164" max="9164" width="40.28515625" customWidth="1"/>
    <col min="9165" max="9168" width="0" hidden="1" customWidth="1"/>
    <col min="9169" max="9169" width="10.7109375" customWidth="1"/>
    <col min="9170" max="9177" width="10.28515625" customWidth="1"/>
    <col min="9181" max="9181" width="12.7109375" bestFit="1" customWidth="1"/>
    <col min="9419" max="9419" width="7.5703125" customWidth="1"/>
    <col min="9420" max="9420" width="40.28515625" customWidth="1"/>
    <col min="9421" max="9424" width="0" hidden="1" customWidth="1"/>
    <col min="9425" max="9425" width="10.7109375" customWidth="1"/>
    <col min="9426" max="9433" width="10.28515625" customWidth="1"/>
    <col min="9437" max="9437" width="12.7109375" bestFit="1" customWidth="1"/>
    <col min="9675" max="9675" width="7.5703125" customWidth="1"/>
    <col min="9676" max="9676" width="40.28515625" customWidth="1"/>
    <col min="9677" max="9680" width="0" hidden="1" customWidth="1"/>
    <col min="9681" max="9681" width="10.7109375" customWidth="1"/>
    <col min="9682" max="9689" width="10.28515625" customWidth="1"/>
    <col min="9693" max="9693" width="12.7109375" bestFit="1" customWidth="1"/>
    <col min="9931" max="9931" width="7.5703125" customWidth="1"/>
    <col min="9932" max="9932" width="40.28515625" customWidth="1"/>
    <col min="9933" max="9936" width="0" hidden="1" customWidth="1"/>
    <col min="9937" max="9937" width="10.7109375" customWidth="1"/>
    <col min="9938" max="9945" width="10.28515625" customWidth="1"/>
    <col min="9949" max="9949" width="12.7109375" bestFit="1" customWidth="1"/>
    <col min="10187" max="10187" width="7.5703125" customWidth="1"/>
    <col min="10188" max="10188" width="40.28515625" customWidth="1"/>
    <col min="10189" max="10192" width="0" hidden="1" customWidth="1"/>
    <col min="10193" max="10193" width="10.7109375" customWidth="1"/>
    <col min="10194" max="10201" width="10.28515625" customWidth="1"/>
    <col min="10205" max="10205" width="12.7109375" bestFit="1" customWidth="1"/>
    <col min="10443" max="10443" width="7.5703125" customWidth="1"/>
    <col min="10444" max="10444" width="40.28515625" customWidth="1"/>
    <col min="10445" max="10448" width="0" hidden="1" customWidth="1"/>
    <col min="10449" max="10449" width="10.7109375" customWidth="1"/>
    <col min="10450" max="10457" width="10.28515625" customWidth="1"/>
    <col min="10461" max="10461" width="12.7109375" bestFit="1" customWidth="1"/>
    <col min="10699" max="10699" width="7.5703125" customWidth="1"/>
    <col min="10700" max="10700" width="40.28515625" customWidth="1"/>
    <col min="10701" max="10704" width="0" hidden="1" customWidth="1"/>
    <col min="10705" max="10705" width="10.7109375" customWidth="1"/>
    <col min="10706" max="10713" width="10.28515625" customWidth="1"/>
    <col min="10717" max="10717" width="12.7109375" bestFit="1" customWidth="1"/>
    <col min="10955" max="10955" width="7.5703125" customWidth="1"/>
    <col min="10956" max="10956" width="40.28515625" customWidth="1"/>
    <col min="10957" max="10960" width="0" hidden="1" customWidth="1"/>
    <col min="10961" max="10961" width="10.7109375" customWidth="1"/>
    <col min="10962" max="10969" width="10.28515625" customWidth="1"/>
    <col min="10973" max="10973" width="12.7109375" bestFit="1" customWidth="1"/>
    <col min="11211" max="11211" width="7.5703125" customWidth="1"/>
    <col min="11212" max="11212" width="40.28515625" customWidth="1"/>
    <col min="11213" max="11216" width="0" hidden="1" customWidth="1"/>
    <col min="11217" max="11217" width="10.7109375" customWidth="1"/>
    <col min="11218" max="11225" width="10.28515625" customWidth="1"/>
    <col min="11229" max="11229" width="12.7109375" bestFit="1" customWidth="1"/>
    <col min="11467" max="11467" width="7.5703125" customWidth="1"/>
    <col min="11468" max="11468" width="40.28515625" customWidth="1"/>
    <col min="11469" max="11472" width="0" hidden="1" customWidth="1"/>
    <col min="11473" max="11473" width="10.7109375" customWidth="1"/>
    <col min="11474" max="11481" width="10.28515625" customWidth="1"/>
    <col min="11485" max="11485" width="12.7109375" bestFit="1" customWidth="1"/>
    <col min="11723" max="11723" width="7.5703125" customWidth="1"/>
    <col min="11724" max="11724" width="40.28515625" customWidth="1"/>
    <col min="11725" max="11728" width="0" hidden="1" customWidth="1"/>
    <col min="11729" max="11729" width="10.7109375" customWidth="1"/>
    <col min="11730" max="11737" width="10.28515625" customWidth="1"/>
    <col min="11741" max="11741" width="12.7109375" bestFit="1" customWidth="1"/>
    <col min="11979" max="11979" width="7.5703125" customWidth="1"/>
    <col min="11980" max="11980" width="40.28515625" customWidth="1"/>
    <col min="11981" max="11984" width="0" hidden="1" customWidth="1"/>
    <col min="11985" max="11985" width="10.7109375" customWidth="1"/>
    <col min="11986" max="11993" width="10.28515625" customWidth="1"/>
    <col min="11997" max="11997" width="12.7109375" bestFit="1" customWidth="1"/>
    <col min="12235" max="12235" width="7.5703125" customWidth="1"/>
    <col min="12236" max="12236" width="40.28515625" customWidth="1"/>
    <col min="12237" max="12240" width="0" hidden="1" customWidth="1"/>
    <col min="12241" max="12241" width="10.7109375" customWidth="1"/>
    <col min="12242" max="12249" width="10.28515625" customWidth="1"/>
    <col min="12253" max="12253" width="12.7109375" bestFit="1" customWidth="1"/>
    <col min="12491" max="12491" width="7.5703125" customWidth="1"/>
    <col min="12492" max="12492" width="40.28515625" customWidth="1"/>
    <col min="12493" max="12496" width="0" hidden="1" customWidth="1"/>
    <col min="12497" max="12497" width="10.7109375" customWidth="1"/>
    <col min="12498" max="12505" width="10.28515625" customWidth="1"/>
    <col min="12509" max="12509" width="12.7109375" bestFit="1" customWidth="1"/>
    <col min="12747" max="12747" width="7.5703125" customWidth="1"/>
    <col min="12748" max="12748" width="40.28515625" customWidth="1"/>
    <col min="12749" max="12752" width="0" hidden="1" customWidth="1"/>
    <col min="12753" max="12753" width="10.7109375" customWidth="1"/>
    <col min="12754" max="12761" width="10.28515625" customWidth="1"/>
    <col min="12765" max="12765" width="12.7109375" bestFit="1" customWidth="1"/>
    <col min="13003" max="13003" width="7.5703125" customWidth="1"/>
    <col min="13004" max="13004" width="40.28515625" customWidth="1"/>
    <col min="13005" max="13008" width="0" hidden="1" customWidth="1"/>
    <col min="13009" max="13009" width="10.7109375" customWidth="1"/>
    <col min="13010" max="13017" width="10.28515625" customWidth="1"/>
    <col min="13021" max="13021" width="12.7109375" bestFit="1" customWidth="1"/>
    <col min="13259" max="13259" width="7.5703125" customWidth="1"/>
    <col min="13260" max="13260" width="40.28515625" customWidth="1"/>
    <col min="13261" max="13264" width="0" hidden="1" customWidth="1"/>
    <col min="13265" max="13265" width="10.7109375" customWidth="1"/>
    <col min="13266" max="13273" width="10.28515625" customWidth="1"/>
    <col min="13277" max="13277" width="12.7109375" bestFit="1" customWidth="1"/>
    <col min="13515" max="13515" width="7.5703125" customWidth="1"/>
    <col min="13516" max="13516" width="40.28515625" customWidth="1"/>
    <col min="13517" max="13520" width="0" hidden="1" customWidth="1"/>
    <col min="13521" max="13521" width="10.7109375" customWidth="1"/>
    <col min="13522" max="13529" width="10.28515625" customWidth="1"/>
    <col min="13533" max="13533" width="12.7109375" bestFit="1" customWidth="1"/>
    <col min="13771" max="13771" width="7.5703125" customWidth="1"/>
    <col min="13772" max="13772" width="40.28515625" customWidth="1"/>
    <col min="13773" max="13776" width="0" hidden="1" customWidth="1"/>
    <col min="13777" max="13777" width="10.7109375" customWidth="1"/>
    <col min="13778" max="13785" width="10.28515625" customWidth="1"/>
    <col min="13789" max="13789" width="12.7109375" bestFit="1" customWidth="1"/>
    <col min="14027" max="14027" width="7.5703125" customWidth="1"/>
    <col min="14028" max="14028" width="40.28515625" customWidth="1"/>
    <col min="14029" max="14032" width="0" hidden="1" customWidth="1"/>
    <col min="14033" max="14033" width="10.7109375" customWidth="1"/>
    <col min="14034" max="14041" width="10.28515625" customWidth="1"/>
    <col min="14045" max="14045" width="12.7109375" bestFit="1" customWidth="1"/>
    <col min="14283" max="14283" width="7.5703125" customWidth="1"/>
    <col min="14284" max="14284" width="40.28515625" customWidth="1"/>
    <col min="14285" max="14288" width="0" hidden="1" customWidth="1"/>
    <col min="14289" max="14289" width="10.7109375" customWidth="1"/>
    <col min="14290" max="14297" width="10.28515625" customWidth="1"/>
    <col min="14301" max="14301" width="12.7109375" bestFit="1" customWidth="1"/>
    <col min="14539" max="14539" width="7.5703125" customWidth="1"/>
    <col min="14540" max="14540" width="40.28515625" customWidth="1"/>
    <col min="14541" max="14544" width="0" hidden="1" customWidth="1"/>
    <col min="14545" max="14545" width="10.7109375" customWidth="1"/>
    <col min="14546" max="14553" width="10.28515625" customWidth="1"/>
    <col min="14557" max="14557" width="12.7109375" bestFit="1" customWidth="1"/>
    <col min="14795" max="14795" width="7.5703125" customWidth="1"/>
    <col min="14796" max="14796" width="40.28515625" customWidth="1"/>
    <col min="14797" max="14800" width="0" hidden="1" customWidth="1"/>
    <col min="14801" max="14801" width="10.7109375" customWidth="1"/>
    <col min="14802" max="14809" width="10.28515625" customWidth="1"/>
    <col min="14813" max="14813" width="12.7109375" bestFit="1" customWidth="1"/>
    <col min="15051" max="15051" width="7.5703125" customWidth="1"/>
    <col min="15052" max="15052" width="40.28515625" customWidth="1"/>
    <col min="15053" max="15056" width="0" hidden="1" customWidth="1"/>
    <col min="15057" max="15057" width="10.7109375" customWidth="1"/>
    <col min="15058" max="15065" width="10.28515625" customWidth="1"/>
    <col min="15069" max="15069" width="12.7109375" bestFit="1" customWidth="1"/>
    <col min="15307" max="15307" width="7.5703125" customWidth="1"/>
    <col min="15308" max="15308" width="40.28515625" customWidth="1"/>
    <col min="15309" max="15312" width="0" hidden="1" customWidth="1"/>
    <col min="15313" max="15313" width="10.7109375" customWidth="1"/>
    <col min="15314" max="15321" width="10.28515625" customWidth="1"/>
    <col min="15325" max="15325" width="12.7109375" bestFit="1" customWidth="1"/>
    <col min="15563" max="15563" width="7.5703125" customWidth="1"/>
    <col min="15564" max="15564" width="40.28515625" customWidth="1"/>
    <col min="15565" max="15568" width="0" hidden="1" customWidth="1"/>
    <col min="15569" max="15569" width="10.7109375" customWidth="1"/>
    <col min="15570" max="15577" width="10.28515625" customWidth="1"/>
    <col min="15581" max="15581" width="12.7109375" bestFit="1" customWidth="1"/>
    <col min="15819" max="15819" width="7.5703125" customWidth="1"/>
    <col min="15820" max="15820" width="40.28515625" customWidth="1"/>
    <col min="15821" max="15824" width="0" hidden="1" customWidth="1"/>
    <col min="15825" max="15825" width="10.7109375" customWidth="1"/>
    <col min="15826" max="15833" width="10.28515625" customWidth="1"/>
    <col min="15837" max="15837" width="12.7109375" bestFit="1" customWidth="1"/>
    <col min="16075" max="16075" width="7.5703125" customWidth="1"/>
    <col min="16076" max="16076" width="40.28515625" customWidth="1"/>
    <col min="16077" max="16080" width="0" hidden="1" customWidth="1"/>
    <col min="16081" max="16081" width="10.7109375" customWidth="1"/>
    <col min="16082" max="16089" width="10.28515625" customWidth="1"/>
    <col min="16093" max="16093" width="12.7109375" bestFit="1" customWidth="1"/>
  </cols>
  <sheetData>
    <row r="1" spans="1:20" x14ac:dyDescent="0.25">
      <c r="A1" s="1" t="s">
        <v>0</v>
      </c>
      <c r="B1" s="4"/>
      <c r="D1" s="1"/>
      <c r="O1" s="1"/>
    </row>
    <row r="2" spans="1:20" x14ac:dyDescent="0.25">
      <c r="A2" s="1" t="s">
        <v>1</v>
      </c>
      <c r="B2" s="4"/>
      <c r="D2" s="1"/>
      <c r="O2" s="1"/>
    </row>
    <row r="3" spans="1:20" x14ac:dyDescent="0.25">
      <c r="A3" s="1" t="s">
        <v>2</v>
      </c>
      <c r="B3" s="4"/>
      <c r="D3" s="1"/>
      <c r="G3" s="61"/>
      <c r="H3" s="61"/>
      <c r="O3" s="1"/>
    </row>
    <row r="4" spans="1:20" x14ac:dyDescent="0.25">
      <c r="A4" s="1"/>
      <c r="B4" s="4"/>
      <c r="D4" s="1"/>
      <c r="O4" s="1"/>
    </row>
    <row r="5" spans="1:20" x14ac:dyDescent="0.25">
      <c r="A5" s="88" t="s">
        <v>202</v>
      </c>
      <c r="B5" s="88"/>
      <c r="C5" s="60"/>
      <c r="D5" s="88"/>
      <c r="O5" s="88"/>
    </row>
    <row r="6" spans="1:20" x14ac:dyDescent="0.25">
      <c r="A6" s="219" t="s">
        <v>187</v>
      </c>
      <c r="B6" s="219"/>
      <c r="C6" s="60"/>
      <c r="D6" s="91"/>
      <c r="O6" s="91"/>
    </row>
    <row r="7" spans="1:20" ht="15" customHeight="1" x14ac:dyDescent="0.25">
      <c r="A7" s="3"/>
      <c r="B7" s="4"/>
      <c r="D7" s="1"/>
      <c r="G7" s="112" t="s">
        <v>116</v>
      </c>
      <c r="H7" s="113">
        <v>4.5999999999999996</v>
      </c>
      <c r="I7" s="113">
        <v>7.11</v>
      </c>
      <c r="J7" s="114" t="s">
        <v>113</v>
      </c>
      <c r="K7" s="114">
        <v>5.7</v>
      </c>
      <c r="O7" s="1"/>
    </row>
    <row r="8" spans="1:20" ht="73.5" customHeight="1" x14ac:dyDescent="0.25">
      <c r="A8" s="5" t="s">
        <v>4</v>
      </c>
      <c r="B8" s="6" t="s">
        <v>5</v>
      </c>
      <c r="C8" s="62" t="s">
        <v>112</v>
      </c>
      <c r="D8" s="7" t="s">
        <v>121</v>
      </c>
      <c r="E8" s="97" t="s">
        <v>114</v>
      </c>
      <c r="F8" s="97" t="s">
        <v>118</v>
      </c>
      <c r="G8" s="62" t="s">
        <v>6</v>
      </c>
      <c r="H8" s="62" t="s">
        <v>7</v>
      </c>
      <c r="I8" s="62" t="s">
        <v>8</v>
      </c>
      <c r="J8" s="62" t="s">
        <v>9</v>
      </c>
      <c r="K8" s="62" t="s">
        <v>10</v>
      </c>
      <c r="L8" s="62" t="s">
        <v>11</v>
      </c>
      <c r="M8" s="62" t="s">
        <v>12</v>
      </c>
      <c r="N8" s="62" t="s">
        <v>13</v>
      </c>
      <c r="O8" s="7" t="s">
        <v>190</v>
      </c>
      <c r="P8" s="97" t="s">
        <v>198</v>
      </c>
      <c r="Q8" s="97" t="s">
        <v>199</v>
      </c>
      <c r="R8" s="97" t="s">
        <v>200</v>
      </c>
      <c r="S8" s="62" t="s">
        <v>167</v>
      </c>
      <c r="T8" s="62" t="s">
        <v>168</v>
      </c>
    </row>
    <row r="9" spans="1:20" ht="24.75" customHeight="1" x14ac:dyDescent="0.25">
      <c r="A9" s="8">
        <v>1</v>
      </c>
      <c r="B9" s="9">
        <v>2</v>
      </c>
      <c r="C9" s="62">
        <v>3</v>
      </c>
      <c r="D9" s="7">
        <v>4</v>
      </c>
      <c r="E9" s="97">
        <v>5</v>
      </c>
      <c r="F9" s="97">
        <v>3</v>
      </c>
      <c r="G9" s="62">
        <v>7</v>
      </c>
      <c r="H9" s="62">
        <v>8</v>
      </c>
      <c r="I9" s="62">
        <v>9</v>
      </c>
      <c r="J9" s="62">
        <v>10</v>
      </c>
      <c r="K9" s="62">
        <v>11</v>
      </c>
      <c r="L9" s="62">
        <v>12</v>
      </c>
      <c r="M9" s="62">
        <v>13</v>
      </c>
      <c r="N9" s="62" t="s">
        <v>14</v>
      </c>
      <c r="O9" s="7">
        <v>4</v>
      </c>
      <c r="P9" s="97">
        <v>5</v>
      </c>
      <c r="Q9" s="97">
        <v>5</v>
      </c>
      <c r="R9" s="97">
        <v>6</v>
      </c>
      <c r="S9" s="62" t="s">
        <v>165</v>
      </c>
      <c r="T9" s="62" t="s">
        <v>166</v>
      </c>
    </row>
    <row r="10" spans="1:20" s="14" customFormat="1" ht="15.75" customHeight="1" x14ac:dyDescent="0.2">
      <c r="A10" s="45">
        <v>6</v>
      </c>
      <c r="B10" s="46" t="s">
        <v>15</v>
      </c>
      <c r="C10" s="43">
        <f>+C11+C22+C25+C32+C19</f>
        <v>7869452.0300000003</v>
      </c>
      <c r="D10" s="43">
        <f>+D11+D22+D25+D32</f>
        <v>9130124</v>
      </c>
      <c r="E10" s="98">
        <f>+E11+E22+E25+E32</f>
        <v>10191438</v>
      </c>
      <c r="F10" s="99">
        <f>+G10+N10</f>
        <v>9954207.5500000007</v>
      </c>
      <c r="G10" s="43">
        <f>+G11+G22+G25+G32</f>
        <v>9868200.0899999999</v>
      </c>
      <c r="H10" s="43">
        <f>+H11+H22+H25+H32</f>
        <v>55243.81</v>
      </c>
      <c r="I10" s="43">
        <f>+I11+I22+I25+I32</f>
        <v>4766</v>
      </c>
      <c r="J10" s="43">
        <f>+J11+J22+J25+J32+J19</f>
        <v>9035.1200000000008</v>
      </c>
      <c r="K10" s="43">
        <f>+K11+K22+K25+K32</f>
        <v>16962.53</v>
      </c>
      <c r="L10" s="43">
        <f>+L11+L22+L25+L32</f>
        <v>0</v>
      </c>
      <c r="M10" s="43">
        <f>+M11+M22+M25+M32</f>
        <v>0</v>
      </c>
      <c r="N10" s="43">
        <f>SUM(H10:M10)</f>
        <v>86007.459999999992</v>
      </c>
      <c r="O10" s="43">
        <f>+O11+O22+O25+O32</f>
        <v>9495564</v>
      </c>
      <c r="P10" s="98">
        <f>+P11+P22+P25+P32</f>
        <v>9574532</v>
      </c>
      <c r="Q10" s="98">
        <f>+Q11+Q22+Q25+Q32</f>
        <v>11980983.020000001</v>
      </c>
      <c r="R10" s="98">
        <f>+R11+R22+R25+R32+R19</f>
        <v>11717645.979999999</v>
      </c>
      <c r="S10" s="43">
        <f>+R10/Q10*100</f>
        <v>97.802041455526563</v>
      </c>
      <c r="T10" s="43">
        <f t="shared" ref="T10:T38" si="0">+R10/F10*100</f>
        <v>117.715507951208</v>
      </c>
    </row>
    <row r="11" spans="1:20" ht="24.75" customHeight="1" x14ac:dyDescent="0.25">
      <c r="A11" s="10">
        <v>63</v>
      </c>
      <c r="B11" s="11" t="s">
        <v>16</v>
      </c>
      <c r="C11" s="13">
        <f>+C12+C14+C17</f>
        <v>7053218.2800000003</v>
      </c>
      <c r="D11" s="13">
        <f>+D14+D12</f>
        <v>8187600</v>
      </c>
      <c r="E11" s="99">
        <f>+E14+E12+E17</f>
        <v>8449637</v>
      </c>
      <c r="F11" s="99">
        <f t="shared" ref="F11:F37" si="1">+G11+N11</f>
        <v>8203143.3700000001</v>
      </c>
      <c r="G11" s="13">
        <f>+G14+G12+G17</f>
        <v>8147899.5600000005</v>
      </c>
      <c r="H11" s="13">
        <f>+H14+H12+H17</f>
        <v>55243.81</v>
      </c>
      <c r="I11" s="13">
        <f>+I14+I12</f>
        <v>0</v>
      </c>
      <c r="J11" s="40">
        <f>+J14+J12</f>
        <v>0</v>
      </c>
      <c r="K11" s="40">
        <f>+K14+K12</f>
        <v>0</v>
      </c>
      <c r="L11" s="13">
        <f>+L14+L12</f>
        <v>0</v>
      </c>
      <c r="M11" s="13">
        <f>+M14+M12</f>
        <v>0</v>
      </c>
      <c r="N11" s="12">
        <f t="shared" ref="N11:N37" si="2">SUM(H11:M11)</f>
        <v>55243.81</v>
      </c>
      <c r="O11" s="13">
        <f>+O14+O12</f>
        <v>8516700</v>
      </c>
      <c r="P11" s="99">
        <f>+P14+P12+P17</f>
        <v>8599825</v>
      </c>
      <c r="Q11" s="99">
        <f>+Q14+Q12+Q17</f>
        <v>9032524.3300000001</v>
      </c>
      <c r="R11" s="99">
        <f>+R14+R12+R17</f>
        <v>8795999.209999999</v>
      </c>
      <c r="S11" s="12">
        <f>+R11/Q11*100</f>
        <v>97.381406223126106</v>
      </c>
      <c r="T11" s="43">
        <f t="shared" si="0"/>
        <v>107.22717881742933</v>
      </c>
    </row>
    <row r="12" spans="1:20" s="14" customFormat="1" ht="24.75" customHeight="1" x14ac:dyDescent="0.2">
      <c r="A12" s="10">
        <v>634</v>
      </c>
      <c r="B12" s="11" t="s">
        <v>17</v>
      </c>
      <c r="C12" s="13">
        <f>+C13</f>
        <v>0</v>
      </c>
      <c r="D12" s="13"/>
      <c r="E12" s="99"/>
      <c r="F12" s="99">
        <f t="shared" si="1"/>
        <v>0</v>
      </c>
      <c r="G12" s="19"/>
      <c r="H12" s="19">
        <f>+H13</f>
        <v>0</v>
      </c>
      <c r="I12" s="19"/>
      <c r="J12" s="41"/>
      <c r="K12" s="41"/>
      <c r="L12" s="19"/>
      <c r="M12" s="19"/>
      <c r="N12" s="12">
        <f t="shared" si="2"/>
        <v>0</v>
      </c>
      <c r="O12" s="13"/>
      <c r="P12" s="99"/>
      <c r="Q12" s="99"/>
      <c r="R12" s="99">
        <v>0</v>
      </c>
      <c r="S12" s="12" t="e">
        <f>+R12/Q12*100</f>
        <v>#DIV/0!</v>
      </c>
      <c r="T12" s="43" t="e">
        <f t="shared" si="0"/>
        <v>#DIV/0!</v>
      </c>
    </row>
    <row r="13" spans="1:20" s="2" customFormat="1" ht="24.75" customHeight="1" x14ac:dyDescent="0.2">
      <c r="A13" s="15">
        <v>6341</v>
      </c>
      <c r="B13" s="16" t="s">
        <v>18</v>
      </c>
      <c r="C13" s="13">
        <v>0</v>
      </c>
      <c r="D13" s="17"/>
      <c r="E13" s="100"/>
      <c r="F13" s="100">
        <f t="shared" si="1"/>
        <v>0</v>
      </c>
      <c r="G13" s="18"/>
      <c r="H13" s="18"/>
      <c r="I13" s="18"/>
      <c r="J13" s="42"/>
      <c r="K13" s="42"/>
      <c r="L13" s="18"/>
      <c r="M13" s="18"/>
      <c r="N13" s="213">
        <f t="shared" si="2"/>
        <v>0</v>
      </c>
      <c r="O13" s="17"/>
      <c r="P13" s="100"/>
      <c r="Q13" s="100"/>
      <c r="R13" s="100">
        <v>0</v>
      </c>
      <c r="S13" s="213"/>
      <c r="T13" s="214" t="e">
        <f t="shared" si="0"/>
        <v>#DIV/0!</v>
      </c>
    </row>
    <row r="14" spans="1:20" s="38" customFormat="1" ht="24.75" customHeight="1" x14ac:dyDescent="0.25">
      <c r="A14" s="10">
        <v>636</v>
      </c>
      <c r="B14" s="11" t="s">
        <v>19</v>
      </c>
      <c r="C14" s="13">
        <f>+C15+C16</f>
        <v>7053218.2800000003</v>
      </c>
      <c r="D14" s="13">
        <f>8091600+96000</f>
        <v>8187600</v>
      </c>
      <c r="E14" s="98">
        <f>8383045+66592</f>
        <v>8449637</v>
      </c>
      <c r="F14" s="99">
        <f t="shared" si="1"/>
        <v>8203143.3700000001</v>
      </c>
      <c r="G14" s="19">
        <f>+G15+G16</f>
        <v>8147899.5600000005</v>
      </c>
      <c r="H14" s="19">
        <f>+H15+H16</f>
        <v>55243.81</v>
      </c>
      <c r="I14" s="19">
        <f t="shared" ref="I14:M14" si="3">+I15+I16</f>
        <v>0</v>
      </c>
      <c r="J14" s="41">
        <f t="shared" si="3"/>
        <v>0</v>
      </c>
      <c r="K14" s="41">
        <f t="shared" si="3"/>
        <v>0</v>
      </c>
      <c r="L14" s="19">
        <f t="shared" si="3"/>
        <v>0</v>
      </c>
      <c r="M14" s="19">
        <f t="shared" si="3"/>
        <v>0</v>
      </c>
      <c r="N14" s="12">
        <f t="shared" si="2"/>
        <v>55243.81</v>
      </c>
      <c r="O14" s="13">
        <f>8440700+76000</f>
        <v>8516700</v>
      </c>
      <c r="P14" s="98">
        <f>8522166+77659</f>
        <v>8599825</v>
      </c>
      <c r="Q14" s="98">
        <f>8919865.72+66658.61+46000</f>
        <v>9032524.3300000001</v>
      </c>
      <c r="R14" s="99">
        <f>+R15+R16</f>
        <v>8795999.209999999</v>
      </c>
      <c r="S14" s="12">
        <f>+R14/Q14*100</f>
        <v>97.381406223126106</v>
      </c>
      <c r="T14" s="43">
        <f t="shared" si="0"/>
        <v>107.22717881742933</v>
      </c>
    </row>
    <row r="15" spans="1:20" s="2" customFormat="1" ht="24.75" customHeight="1" x14ac:dyDescent="0.2">
      <c r="A15" s="15">
        <v>6361</v>
      </c>
      <c r="B15" s="16" t="s">
        <v>19</v>
      </c>
      <c r="C15" s="13">
        <v>6979804.0800000001</v>
      </c>
      <c r="D15" s="17"/>
      <c r="E15" s="101"/>
      <c r="F15" s="100">
        <f t="shared" si="1"/>
        <v>8164077.29</v>
      </c>
      <c r="G15" s="18">
        <f>7006694.82+1030639.21+71499.45</f>
        <v>8108833.4800000004</v>
      </c>
      <c r="H15" s="18">
        <v>55243.81</v>
      </c>
      <c r="I15" s="18"/>
      <c r="J15" s="42"/>
      <c r="K15" s="42"/>
      <c r="L15" s="18"/>
      <c r="M15" s="18"/>
      <c r="N15" s="213">
        <f t="shared" si="2"/>
        <v>55243.81</v>
      </c>
      <c r="O15" s="17"/>
      <c r="P15" s="101"/>
      <c r="Q15" s="101"/>
      <c r="R15" s="100">
        <v>8757536.9499999993</v>
      </c>
      <c r="S15" s="213"/>
      <c r="T15" s="214">
        <f t="shared" si="0"/>
        <v>107.26915778623159</v>
      </c>
    </row>
    <row r="16" spans="1:20" s="2" customFormat="1" ht="24.75" customHeight="1" x14ac:dyDescent="0.2">
      <c r="A16" s="15">
        <v>6362</v>
      </c>
      <c r="B16" s="16" t="s">
        <v>20</v>
      </c>
      <c r="C16" s="13">
        <v>73414.2</v>
      </c>
      <c r="D16" s="17"/>
      <c r="E16" s="101"/>
      <c r="F16" s="100">
        <f t="shared" si="1"/>
        <v>39066.080000000002</v>
      </c>
      <c r="G16" s="18">
        <f>14565.53+24500.55</f>
        <v>39066.080000000002</v>
      </c>
      <c r="H16" s="18"/>
      <c r="I16" s="18"/>
      <c r="J16" s="42"/>
      <c r="K16" s="42"/>
      <c r="L16" s="18"/>
      <c r="M16" s="18"/>
      <c r="N16" s="213">
        <f t="shared" si="2"/>
        <v>0</v>
      </c>
      <c r="O16" s="17"/>
      <c r="P16" s="101"/>
      <c r="Q16" s="101"/>
      <c r="R16" s="100">
        <v>38462.26</v>
      </c>
      <c r="S16" s="213"/>
      <c r="T16" s="214">
        <f t="shared" si="0"/>
        <v>98.454362454589756</v>
      </c>
    </row>
    <row r="17" spans="1:20" s="14" customFormat="1" ht="24.75" customHeight="1" x14ac:dyDescent="0.2">
      <c r="A17" s="10">
        <v>638</v>
      </c>
      <c r="B17" s="11" t="s">
        <v>21</v>
      </c>
      <c r="C17" s="13">
        <f>+C18</f>
        <v>0</v>
      </c>
      <c r="D17" s="13"/>
      <c r="E17" s="98"/>
      <c r="F17" s="99">
        <f>+G17+N17</f>
        <v>0</v>
      </c>
      <c r="G17" s="19">
        <f>+G18</f>
        <v>0</v>
      </c>
      <c r="H17" s="19">
        <f>+H18</f>
        <v>0</v>
      </c>
      <c r="I17" s="19"/>
      <c r="J17" s="41"/>
      <c r="K17" s="41"/>
      <c r="L17" s="19"/>
      <c r="M17" s="19"/>
      <c r="N17" s="12">
        <f t="shared" si="2"/>
        <v>0</v>
      </c>
      <c r="O17" s="13"/>
      <c r="P17" s="98"/>
      <c r="Q17" s="98"/>
      <c r="R17" s="99">
        <f>+R18</f>
        <v>0</v>
      </c>
      <c r="S17" s="12" t="e">
        <f>+R17/Q17*100</f>
        <v>#DIV/0!</v>
      </c>
      <c r="T17" s="43" t="e">
        <f t="shared" si="0"/>
        <v>#DIV/0!</v>
      </c>
    </row>
    <row r="18" spans="1:20" s="2" customFormat="1" ht="24.75" customHeight="1" x14ac:dyDescent="0.2">
      <c r="A18" s="15">
        <v>6381</v>
      </c>
      <c r="B18" s="16" t="s">
        <v>22</v>
      </c>
      <c r="C18" s="13">
        <v>0</v>
      </c>
      <c r="D18" s="17"/>
      <c r="E18" s="101"/>
      <c r="F18" s="100">
        <f t="shared" si="1"/>
        <v>0</v>
      </c>
      <c r="G18" s="18"/>
      <c r="H18" s="18"/>
      <c r="I18" s="18"/>
      <c r="J18" s="42"/>
      <c r="K18" s="42"/>
      <c r="L18" s="18"/>
      <c r="M18" s="18"/>
      <c r="N18" s="213">
        <f t="shared" si="2"/>
        <v>0</v>
      </c>
      <c r="O18" s="17"/>
      <c r="P18" s="101"/>
      <c r="Q18" s="101"/>
      <c r="R18" s="100">
        <v>0</v>
      </c>
      <c r="S18" s="213"/>
      <c r="T18" s="214" t="e">
        <f t="shared" si="0"/>
        <v>#DIV/0!</v>
      </c>
    </row>
    <row r="19" spans="1:20" ht="24.75" customHeight="1" x14ac:dyDescent="0.25">
      <c r="A19" s="10">
        <v>64</v>
      </c>
      <c r="B19" s="52" t="s">
        <v>23</v>
      </c>
      <c r="C19" s="13">
        <f>+C20</f>
        <v>2.42</v>
      </c>
      <c r="D19" s="13"/>
      <c r="E19" s="99"/>
      <c r="F19" s="99">
        <f t="shared" si="1"/>
        <v>1.34</v>
      </c>
      <c r="G19" s="13"/>
      <c r="H19" s="13"/>
      <c r="I19" s="13"/>
      <c r="J19" s="40">
        <f>+J20</f>
        <v>1.34</v>
      </c>
      <c r="K19" s="40"/>
      <c r="L19" s="13"/>
      <c r="M19" s="13"/>
      <c r="N19" s="12">
        <f t="shared" si="2"/>
        <v>1.34</v>
      </c>
      <c r="O19" s="13"/>
      <c r="P19" s="99"/>
      <c r="Q19" s="99"/>
      <c r="R19" s="99">
        <f>+R20</f>
        <v>1.08</v>
      </c>
      <c r="S19" s="12" t="e">
        <f>+R19/Q19*100</f>
        <v>#DIV/0!</v>
      </c>
      <c r="T19" s="43">
        <f t="shared" si="0"/>
        <v>80.597014925373131</v>
      </c>
    </row>
    <row r="20" spans="1:20" s="14" customFormat="1" ht="15.75" customHeight="1" x14ac:dyDescent="0.2">
      <c r="A20" s="10">
        <v>641</v>
      </c>
      <c r="B20" s="52" t="s">
        <v>24</v>
      </c>
      <c r="C20" s="13">
        <f>+C21</f>
        <v>2.42</v>
      </c>
      <c r="D20" s="13"/>
      <c r="E20" s="98"/>
      <c r="F20" s="99">
        <f t="shared" si="1"/>
        <v>1.34</v>
      </c>
      <c r="G20" s="19"/>
      <c r="H20" s="19"/>
      <c r="I20" s="19"/>
      <c r="J20" s="41">
        <f>+J21</f>
        <v>1.34</v>
      </c>
      <c r="K20" s="41"/>
      <c r="L20" s="19"/>
      <c r="M20" s="19"/>
      <c r="N20" s="12">
        <f t="shared" si="2"/>
        <v>1.34</v>
      </c>
      <c r="O20" s="13"/>
      <c r="P20" s="98"/>
      <c r="Q20" s="98"/>
      <c r="R20" s="99">
        <f>+R21</f>
        <v>1.08</v>
      </c>
      <c r="S20" s="12" t="e">
        <f>+R20/Q20*100</f>
        <v>#DIV/0!</v>
      </c>
      <c r="T20" s="43">
        <f t="shared" si="0"/>
        <v>80.597014925373131</v>
      </c>
    </row>
    <row r="21" spans="1:20" ht="30.75" customHeight="1" x14ac:dyDescent="0.25">
      <c r="A21" s="15">
        <v>6413</v>
      </c>
      <c r="B21" s="53" t="s">
        <v>25</v>
      </c>
      <c r="C21" s="13">
        <v>2.42</v>
      </c>
      <c r="D21" s="17"/>
      <c r="E21" s="98"/>
      <c r="F21" s="100">
        <f t="shared" si="1"/>
        <v>1.34</v>
      </c>
      <c r="G21" s="18"/>
      <c r="H21" s="18"/>
      <c r="I21" s="18"/>
      <c r="J21" s="42">
        <v>1.34</v>
      </c>
      <c r="K21" s="42"/>
      <c r="L21" s="18"/>
      <c r="M21" s="18"/>
      <c r="N21" s="213">
        <f t="shared" si="2"/>
        <v>1.34</v>
      </c>
      <c r="O21" s="17"/>
      <c r="P21" s="101"/>
      <c r="Q21" s="101"/>
      <c r="R21" s="100">
        <v>1.08</v>
      </c>
      <c r="S21" s="213"/>
      <c r="T21" s="214">
        <f t="shared" si="0"/>
        <v>80.597014925373131</v>
      </c>
    </row>
    <row r="22" spans="1:20" ht="15.75" customHeight="1" x14ac:dyDescent="0.25">
      <c r="A22" s="10">
        <v>65</v>
      </c>
      <c r="B22" s="52" t="s">
        <v>26</v>
      </c>
      <c r="C22" s="13">
        <f>+C23</f>
        <v>4250</v>
      </c>
      <c r="D22" s="13">
        <f>+D23</f>
        <v>26000</v>
      </c>
      <c r="E22" s="99">
        <f>+E23</f>
        <v>6000</v>
      </c>
      <c r="F22" s="99">
        <f t="shared" si="1"/>
        <v>7489.7800000000007</v>
      </c>
      <c r="G22" s="13">
        <f t="shared" ref="G22:M22" si="4">+G23</f>
        <v>0</v>
      </c>
      <c r="H22" s="13">
        <f t="shared" si="4"/>
        <v>0</v>
      </c>
      <c r="I22" s="13">
        <f t="shared" si="4"/>
        <v>4766</v>
      </c>
      <c r="J22" s="40">
        <f t="shared" si="4"/>
        <v>2723.78</v>
      </c>
      <c r="K22" s="40">
        <f t="shared" si="4"/>
        <v>0</v>
      </c>
      <c r="L22" s="13">
        <f t="shared" si="4"/>
        <v>0</v>
      </c>
      <c r="M22" s="13">
        <f t="shared" si="4"/>
        <v>0</v>
      </c>
      <c r="N22" s="12">
        <f t="shared" si="2"/>
        <v>7489.7800000000007</v>
      </c>
      <c r="O22" s="13">
        <f>+O23</f>
        <v>9000</v>
      </c>
      <c r="P22" s="99">
        <f>+P23</f>
        <v>11000</v>
      </c>
      <c r="Q22" s="99">
        <f>+Q23</f>
        <v>13200</v>
      </c>
      <c r="R22" s="99">
        <f>+R23</f>
        <v>12918.25</v>
      </c>
      <c r="S22" s="12">
        <f>+R22/Q22*100</f>
        <v>97.865530303030297</v>
      </c>
      <c r="T22" s="43">
        <f t="shared" si="0"/>
        <v>172.47836385047356</v>
      </c>
    </row>
    <row r="23" spans="1:20" s="14" customFormat="1" ht="15.75" customHeight="1" x14ac:dyDescent="0.2">
      <c r="A23" s="10">
        <v>652</v>
      </c>
      <c r="B23" s="52" t="s">
        <v>27</v>
      </c>
      <c r="C23" s="13">
        <f>+C24</f>
        <v>4250</v>
      </c>
      <c r="D23" s="13">
        <v>26000</v>
      </c>
      <c r="E23" s="98">
        <v>6000</v>
      </c>
      <c r="F23" s="99">
        <f t="shared" si="1"/>
        <v>7489.7800000000007</v>
      </c>
      <c r="G23" s="19"/>
      <c r="H23" s="19"/>
      <c r="I23" s="19">
        <f>+I24</f>
        <v>4766</v>
      </c>
      <c r="J23" s="41">
        <f>+J24</f>
        <v>2723.78</v>
      </c>
      <c r="K23" s="41"/>
      <c r="L23" s="19"/>
      <c r="M23" s="19"/>
      <c r="N23" s="12">
        <f t="shared" si="2"/>
        <v>7489.7800000000007</v>
      </c>
      <c r="O23" s="13">
        <v>9000</v>
      </c>
      <c r="P23" s="98">
        <v>11000</v>
      </c>
      <c r="Q23" s="98">
        <v>13200</v>
      </c>
      <c r="R23" s="99">
        <f>+R24</f>
        <v>12918.25</v>
      </c>
      <c r="S23" s="12">
        <f>+R23/Q23*100</f>
        <v>97.865530303030297</v>
      </c>
      <c r="T23" s="43">
        <f t="shared" si="0"/>
        <v>172.47836385047356</v>
      </c>
    </row>
    <row r="24" spans="1:20" s="39" customFormat="1" ht="15.75" customHeight="1" x14ac:dyDescent="0.25">
      <c r="A24" s="15">
        <v>6526</v>
      </c>
      <c r="B24" s="53" t="s">
        <v>28</v>
      </c>
      <c r="C24" s="17">
        <v>4250</v>
      </c>
      <c r="D24" s="17"/>
      <c r="E24" s="101"/>
      <c r="F24" s="100">
        <f t="shared" si="1"/>
        <v>7489.7800000000007</v>
      </c>
      <c r="G24" s="18"/>
      <c r="H24" s="18"/>
      <c r="I24" s="18">
        <v>4766</v>
      </c>
      <c r="J24" s="42">
        <v>2723.78</v>
      </c>
      <c r="K24" s="42"/>
      <c r="L24" s="18"/>
      <c r="M24" s="18"/>
      <c r="N24" s="213">
        <f t="shared" si="2"/>
        <v>7489.7800000000007</v>
      </c>
      <c r="O24" s="17"/>
      <c r="P24" s="101"/>
      <c r="Q24" s="101"/>
      <c r="R24" s="100">
        <v>12918.25</v>
      </c>
      <c r="S24" s="213"/>
      <c r="T24" s="214">
        <f t="shared" si="0"/>
        <v>172.47836385047356</v>
      </c>
    </row>
    <row r="25" spans="1:20" ht="31.5" customHeight="1" x14ac:dyDescent="0.25">
      <c r="A25" s="10">
        <v>66</v>
      </c>
      <c r="B25" s="54" t="s">
        <v>29</v>
      </c>
      <c r="C25" s="13">
        <f>+C26+C29</f>
        <v>78391.239999999991</v>
      </c>
      <c r="D25" s="13">
        <f>+D26+D29</f>
        <v>36000</v>
      </c>
      <c r="E25" s="99">
        <f>+E26+E29</f>
        <v>19072</v>
      </c>
      <c r="F25" s="99">
        <f t="shared" si="1"/>
        <v>23272.53</v>
      </c>
      <c r="G25" s="13">
        <f t="shared" ref="G25:M25" si="5">+G26+G29</f>
        <v>0</v>
      </c>
      <c r="H25" s="13">
        <f t="shared" si="5"/>
        <v>0</v>
      </c>
      <c r="I25" s="13">
        <f t="shared" si="5"/>
        <v>0</v>
      </c>
      <c r="J25" s="40">
        <f t="shared" si="5"/>
        <v>6310</v>
      </c>
      <c r="K25" s="40">
        <f t="shared" si="5"/>
        <v>16962.53</v>
      </c>
      <c r="L25" s="13">
        <f t="shared" si="5"/>
        <v>0</v>
      </c>
      <c r="M25" s="13">
        <f t="shared" si="5"/>
        <v>0</v>
      </c>
      <c r="N25" s="12">
        <f t="shared" si="2"/>
        <v>23272.53</v>
      </c>
      <c r="O25" s="13">
        <f>+O26+O29</f>
        <v>28800</v>
      </c>
      <c r="P25" s="99">
        <f>+P26+P29</f>
        <v>20134</v>
      </c>
      <c r="Q25" s="99">
        <f>+Q26+Q29</f>
        <v>23634.47</v>
      </c>
      <c r="R25" s="99">
        <f>+R26+R29</f>
        <v>24457.78</v>
      </c>
      <c r="S25" s="12">
        <f>+R25/Q25*100</f>
        <v>103.48351369842436</v>
      </c>
      <c r="T25" s="43">
        <f t="shared" si="0"/>
        <v>105.09291426415605</v>
      </c>
    </row>
    <row r="26" spans="1:20" s="14" customFormat="1" ht="32.25" customHeight="1" x14ac:dyDescent="0.2">
      <c r="A26" s="10">
        <v>661</v>
      </c>
      <c r="B26" s="54" t="s">
        <v>30</v>
      </c>
      <c r="C26" s="13">
        <f>+C27+C28</f>
        <v>5347.87</v>
      </c>
      <c r="D26" s="13">
        <v>16000</v>
      </c>
      <c r="E26" s="98">
        <v>6988</v>
      </c>
      <c r="F26" s="99">
        <f t="shared" si="1"/>
        <v>6310</v>
      </c>
      <c r="G26" s="19">
        <f>+G27+G28</f>
        <v>0</v>
      </c>
      <c r="H26" s="19">
        <f t="shared" ref="H26:M26" si="6">+H27+H28</f>
        <v>0</v>
      </c>
      <c r="I26" s="19">
        <f t="shared" si="6"/>
        <v>0</v>
      </c>
      <c r="J26" s="41">
        <f t="shared" si="6"/>
        <v>6310</v>
      </c>
      <c r="K26" s="41">
        <f t="shared" si="6"/>
        <v>0</v>
      </c>
      <c r="L26" s="19">
        <f t="shared" si="6"/>
        <v>0</v>
      </c>
      <c r="M26" s="19">
        <f t="shared" si="6"/>
        <v>0</v>
      </c>
      <c r="N26" s="12">
        <f t="shared" si="2"/>
        <v>6310</v>
      </c>
      <c r="O26" s="13">
        <v>8800</v>
      </c>
      <c r="P26" s="98">
        <v>8800</v>
      </c>
      <c r="Q26" s="98">
        <f>4000.35+8300</f>
        <v>12300.35</v>
      </c>
      <c r="R26" s="99">
        <f>+R27+R28</f>
        <v>16731.23</v>
      </c>
      <c r="S26" s="12">
        <f>+R26/Q26*100</f>
        <v>136.02238960679981</v>
      </c>
      <c r="T26" s="43">
        <f t="shared" si="0"/>
        <v>265.1541996830428</v>
      </c>
    </row>
    <row r="27" spans="1:20" ht="15.75" customHeight="1" x14ac:dyDescent="0.25">
      <c r="A27" s="15">
        <v>6614</v>
      </c>
      <c r="B27" s="55" t="s">
        <v>31</v>
      </c>
      <c r="C27" s="13">
        <v>0</v>
      </c>
      <c r="D27" s="17"/>
      <c r="E27" s="98"/>
      <c r="F27" s="100">
        <f t="shared" si="1"/>
        <v>1510</v>
      </c>
      <c r="G27" s="18"/>
      <c r="H27" s="18"/>
      <c r="I27" s="18"/>
      <c r="J27" s="42">
        <v>1510</v>
      </c>
      <c r="K27" s="42"/>
      <c r="L27" s="18"/>
      <c r="M27" s="18"/>
      <c r="N27" s="213">
        <f t="shared" si="2"/>
        <v>1510</v>
      </c>
      <c r="O27" s="17"/>
      <c r="P27" s="101"/>
      <c r="Q27" s="101"/>
      <c r="R27" s="100">
        <v>9676.4</v>
      </c>
      <c r="S27" s="213"/>
      <c r="T27" s="214">
        <f t="shared" si="0"/>
        <v>640.82119205298011</v>
      </c>
    </row>
    <row r="28" spans="1:20" ht="15.75" customHeight="1" x14ac:dyDescent="0.25">
      <c r="A28" s="15">
        <v>6615</v>
      </c>
      <c r="B28" s="55" t="s">
        <v>32</v>
      </c>
      <c r="C28" s="13">
        <v>5347.87</v>
      </c>
      <c r="D28" s="17"/>
      <c r="E28" s="98"/>
      <c r="F28" s="100">
        <f t="shared" si="1"/>
        <v>4800</v>
      </c>
      <c r="G28" s="18"/>
      <c r="H28" s="18"/>
      <c r="I28" s="18"/>
      <c r="J28" s="42">
        <v>4800</v>
      </c>
      <c r="K28" s="42"/>
      <c r="L28" s="18"/>
      <c r="M28" s="18"/>
      <c r="N28" s="213">
        <f t="shared" si="2"/>
        <v>4800</v>
      </c>
      <c r="O28" s="17"/>
      <c r="P28" s="101"/>
      <c r="Q28" s="101"/>
      <c r="R28" s="100">
        <v>7054.83</v>
      </c>
      <c r="S28" s="213"/>
      <c r="T28" s="214">
        <f t="shared" si="0"/>
        <v>146.97562499999998</v>
      </c>
    </row>
    <row r="29" spans="1:20" s="14" customFormat="1" ht="31.5" customHeight="1" x14ac:dyDescent="0.2">
      <c r="A29" s="10">
        <v>663</v>
      </c>
      <c r="B29" s="54" t="s">
        <v>33</v>
      </c>
      <c r="C29" s="13">
        <f>+C30</f>
        <v>73043.37</v>
      </c>
      <c r="D29" s="13">
        <v>20000</v>
      </c>
      <c r="E29" s="98">
        <v>12084</v>
      </c>
      <c r="F29" s="99">
        <f t="shared" si="1"/>
        <v>16962.53</v>
      </c>
      <c r="G29" s="19">
        <f t="shared" ref="G29:M29" si="7">+G30</f>
        <v>0</v>
      </c>
      <c r="H29" s="19">
        <f t="shared" si="7"/>
        <v>0</v>
      </c>
      <c r="I29" s="19">
        <f t="shared" si="7"/>
        <v>0</v>
      </c>
      <c r="J29" s="41">
        <f t="shared" si="7"/>
        <v>0</v>
      </c>
      <c r="K29" s="41">
        <f t="shared" si="7"/>
        <v>16962.53</v>
      </c>
      <c r="L29" s="19">
        <f t="shared" si="7"/>
        <v>0</v>
      </c>
      <c r="M29" s="19">
        <f t="shared" si="7"/>
        <v>0</v>
      </c>
      <c r="N29" s="12">
        <f t="shared" si="2"/>
        <v>16962.53</v>
      </c>
      <c r="O29" s="13">
        <v>20000</v>
      </c>
      <c r="P29" s="98">
        <v>11334</v>
      </c>
      <c r="Q29" s="98">
        <v>11334.12</v>
      </c>
      <c r="R29" s="99">
        <f>+R30+R31</f>
        <v>7726.55</v>
      </c>
      <c r="S29" s="12">
        <f>+R29/Q29*100</f>
        <v>68.170709327234931</v>
      </c>
      <c r="T29" s="43">
        <f t="shared" si="0"/>
        <v>45.550693204374589</v>
      </c>
    </row>
    <row r="30" spans="1:20" ht="15.75" customHeight="1" x14ac:dyDescent="0.25">
      <c r="A30" s="15">
        <v>6631</v>
      </c>
      <c r="B30" s="55" t="s">
        <v>34</v>
      </c>
      <c r="C30" s="13">
        <v>73043.37</v>
      </c>
      <c r="D30" s="17"/>
      <c r="E30" s="98"/>
      <c r="F30" s="100">
        <f t="shared" si="1"/>
        <v>16962.53</v>
      </c>
      <c r="G30" s="18"/>
      <c r="H30" s="18"/>
      <c r="I30" s="18"/>
      <c r="J30" s="42"/>
      <c r="K30" s="42">
        <v>16962.53</v>
      </c>
      <c r="L30" s="18"/>
      <c r="M30" s="18"/>
      <c r="N30" s="213">
        <f t="shared" si="2"/>
        <v>16962.53</v>
      </c>
      <c r="O30" s="17"/>
      <c r="P30" s="101"/>
      <c r="Q30" s="101"/>
      <c r="R30" s="100">
        <v>2488.66</v>
      </c>
      <c r="S30" s="213"/>
      <c r="T30" s="214">
        <f t="shared" si="0"/>
        <v>14.671514213976335</v>
      </c>
    </row>
    <row r="31" spans="1:20" ht="15.75" customHeight="1" x14ac:dyDescent="0.25">
      <c r="A31" s="15">
        <v>6632</v>
      </c>
      <c r="B31" s="55" t="s">
        <v>207</v>
      </c>
      <c r="C31" s="13"/>
      <c r="D31" s="17"/>
      <c r="E31" s="98"/>
      <c r="F31" s="100"/>
      <c r="G31" s="18"/>
      <c r="H31" s="18"/>
      <c r="I31" s="18"/>
      <c r="J31" s="42"/>
      <c r="K31" s="42"/>
      <c r="L31" s="18"/>
      <c r="M31" s="18"/>
      <c r="N31" s="213"/>
      <c r="O31" s="17"/>
      <c r="P31" s="101"/>
      <c r="Q31" s="101"/>
      <c r="R31" s="100">
        <v>5237.8900000000003</v>
      </c>
      <c r="S31" s="213"/>
      <c r="T31" s="214"/>
    </row>
    <row r="32" spans="1:20" ht="15.75" customHeight="1" x14ac:dyDescent="0.25">
      <c r="A32" s="10">
        <v>67</v>
      </c>
      <c r="B32" s="20" t="s">
        <v>35</v>
      </c>
      <c r="C32" s="13">
        <f>+C33</f>
        <v>733590.09</v>
      </c>
      <c r="D32" s="21">
        <f>+D33</f>
        <v>880524</v>
      </c>
      <c r="E32" s="102">
        <f>+E33</f>
        <v>1716729</v>
      </c>
      <c r="F32" s="99">
        <f t="shared" si="1"/>
        <v>1720300.53</v>
      </c>
      <c r="G32" s="21">
        <f t="shared" ref="G32:M32" si="8">+G33</f>
        <v>1720300.53</v>
      </c>
      <c r="H32" s="21">
        <f t="shared" si="8"/>
        <v>0</v>
      </c>
      <c r="I32" s="21">
        <f t="shared" si="8"/>
        <v>0</v>
      </c>
      <c r="J32" s="21">
        <f t="shared" si="8"/>
        <v>0</v>
      </c>
      <c r="K32" s="21">
        <f t="shared" si="8"/>
        <v>0</v>
      </c>
      <c r="L32" s="21">
        <f t="shared" si="8"/>
        <v>0</v>
      </c>
      <c r="M32" s="21">
        <f t="shared" si="8"/>
        <v>0</v>
      </c>
      <c r="N32" s="12">
        <f t="shared" si="2"/>
        <v>0</v>
      </c>
      <c r="O32" s="21">
        <f>+O33</f>
        <v>941064</v>
      </c>
      <c r="P32" s="102">
        <f>+P33</f>
        <v>943573</v>
      </c>
      <c r="Q32" s="102">
        <f>+Q33</f>
        <v>2911624.22</v>
      </c>
      <c r="R32" s="99">
        <f>+R33</f>
        <v>2884269.66</v>
      </c>
      <c r="S32" s="12">
        <f>+R32/Q32*100</f>
        <v>99.060505136201954</v>
      </c>
      <c r="T32" s="43">
        <f t="shared" si="0"/>
        <v>167.66080168562178</v>
      </c>
    </row>
    <row r="33" spans="1:23" s="14" customFormat="1" ht="23.25" customHeight="1" x14ac:dyDescent="0.2">
      <c r="A33" s="10">
        <v>671</v>
      </c>
      <c r="B33" s="20" t="s">
        <v>36</v>
      </c>
      <c r="C33" s="13">
        <f>+C34+C35</f>
        <v>733590.09</v>
      </c>
      <c r="D33" s="21">
        <v>880524</v>
      </c>
      <c r="E33" s="98">
        <v>1716729</v>
      </c>
      <c r="F33" s="99">
        <f t="shared" si="1"/>
        <v>1720300.53</v>
      </c>
      <c r="G33" s="19">
        <f>+G34+G35</f>
        <v>1720300.53</v>
      </c>
      <c r="H33" s="19"/>
      <c r="I33" s="19"/>
      <c r="J33" s="41"/>
      <c r="K33" s="41"/>
      <c r="L33" s="19"/>
      <c r="M33" s="19"/>
      <c r="N33" s="12">
        <f t="shared" si="2"/>
        <v>0</v>
      </c>
      <c r="O33" s="21">
        <v>941064</v>
      </c>
      <c r="P33" s="98">
        <v>943573</v>
      </c>
      <c r="Q33" s="98">
        <v>2911624.22</v>
      </c>
      <c r="R33" s="99">
        <f>+R34+R35</f>
        <v>2884269.66</v>
      </c>
      <c r="S33" s="12">
        <f>+R33/Q33*100</f>
        <v>99.060505136201954</v>
      </c>
      <c r="T33" s="43">
        <f t="shared" si="0"/>
        <v>167.66080168562178</v>
      </c>
    </row>
    <row r="34" spans="1:23" ht="27.75" customHeight="1" x14ac:dyDescent="0.25">
      <c r="A34" s="15">
        <v>6711</v>
      </c>
      <c r="B34" s="22" t="s">
        <v>36</v>
      </c>
      <c r="C34" s="13">
        <v>727666.84</v>
      </c>
      <c r="D34" s="23"/>
      <c r="E34" s="98"/>
      <c r="F34" s="100">
        <f t="shared" si="1"/>
        <v>1024208.03</v>
      </c>
      <c r="G34" s="18">
        <f>321264+65031.89+637912.14</f>
        <v>1024208.03</v>
      </c>
      <c r="H34" s="18"/>
      <c r="I34" s="18"/>
      <c r="J34" s="42"/>
      <c r="K34" s="42"/>
      <c r="L34" s="18"/>
      <c r="M34" s="18"/>
      <c r="N34" s="213">
        <f t="shared" si="2"/>
        <v>0</v>
      </c>
      <c r="O34" s="23"/>
      <c r="P34" s="101"/>
      <c r="Q34" s="101"/>
      <c r="R34" s="100">
        <v>973919.66</v>
      </c>
      <c r="S34" s="213"/>
      <c r="T34" s="214">
        <f t="shared" si="0"/>
        <v>95.090023849939939</v>
      </c>
    </row>
    <row r="35" spans="1:23" ht="26.25" customHeight="1" x14ac:dyDescent="0.25">
      <c r="A35" s="15">
        <v>6712</v>
      </c>
      <c r="B35" s="22" t="s">
        <v>37</v>
      </c>
      <c r="C35" s="13">
        <v>5923.25</v>
      </c>
      <c r="D35" s="23"/>
      <c r="E35" s="98"/>
      <c r="F35" s="100">
        <f t="shared" si="1"/>
        <v>696092.5</v>
      </c>
      <c r="G35" s="18">
        <v>696092.5</v>
      </c>
      <c r="H35" s="18"/>
      <c r="I35" s="18"/>
      <c r="J35" s="42"/>
      <c r="K35" s="42"/>
      <c r="L35" s="18"/>
      <c r="M35" s="18"/>
      <c r="N35" s="213">
        <f t="shared" si="2"/>
        <v>0</v>
      </c>
      <c r="O35" s="23"/>
      <c r="P35" s="101"/>
      <c r="Q35" s="101"/>
      <c r="R35" s="100">
        <v>1910350</v>
      </c>
      <c r="S35" s="213"/>
      <c r="T35" s="214">
        <f t="shared" si="0"/>
        <v>274.43910112520962</v>
      </c>
    </row>
    <row r="36" spans="1:23" s="14" customFormat="1" ht="24" customHeight="1" x14ac:dyDescent="0.2">
      <c r="A36" s="10">
        <v>7</v>
      </c>
      <c r="B36" s="52" t="s">
        <v>38</v>
      </c>
      <c r="C36" s="13">
        <v>0</v>
      </c>
      <c r="D36" s="21">
        <v>0</v>
      </c>
      <c r="E36" s="102">
        <v>0</v>
      </c>
      <c r="F36" s="99">
        <f t="shared" si="1"/>
        <v>0</v>
      </c>
      <c r="G36" s="19"/>
      <c r="H36" s="19"/>
      <c r="I36" s="19"/>
      <c r="J36" s="41"/>
      <c r="K36" s="41"/>
      <c r="L36" s="19"/>
      <c r="M36" s="19"/>
      <c r="N36" s="12">
        <f t="shared" si="2"/>
        <v>0</v>
      </c>
      <c r="O36" s="21">
        <v>0</v>
      </c>
      <c r="P36" s="102">
        <v>0</v>
      </c>
      <c r="Q36" s="102">
        <v>0</v>
      </c>
      <c r="R36" s="99">
        <v>0</v>
      </c>
      <c r="S36" s="12" t="e">
        <f>+R36/Q36*100</f>
        <v>#DIV/0!</v>
      </c>
      <c r="T36" s="43" t="e">
        <f t="shared" si="0"/>
        <v>#DIV/0!</v>
      </c>
    </row>
    <row r="37" spans="1:23" ht="26.25" customHeight="1" x14ac:dyDescent="0.25">
      <c r="A37" s="15">
        <v>9221</v>
      </c>
      <c r="B37" s="22" t="s">
        <v>39</v>
      </c>
      <c r="C37" s="13">
        <v>255208.05</v>
      </c>
      <c r="D37" s="23">
        <f>-70500-6000</f>
        <v>-76500</v>
      </c>
      <c r="E37" s="98">
        <f>-73325+17812-6592+7916</f>
        <v>-54189</v>
      </c>
      <c r="F37" s="100">
        <f t="shared" si="1"/>
        <v>-54190.310000000012</v>
      </c>
      <c r="G37" s="18">
        <f>-10330.88-66089.77-11071.68+14166.94</f>
        <v>-73325.390000000014</v>
      </c>
      <c r="H37" s="18">
        <v>-6592.49</v>
      </c>
      <c r="I37" s="18"/>
      <c r="J37" s="42">
        <f>10605.05+7206.64</f>
        <v>17811.689999999999</v>
      </c>
      <c r="K37" s="42">
        <v>7915.88</v>
      </c>
      <c r="L37" s="18"/>
      <c r="M37" s="18"/>
      <c r="N37" s="213">
        <f t="shared" si="2"/>
        <v>19135.079999999998</v>
      </c>
      <c r="O37" s="23">
        <f>-71500-6000</f>
        <v>-77500</v>
      </c>
      <c r="P37" s="101">
        <f>-117346+13300-7659+8666</f>
        <v>-103039</v>
      </c>
      <c r="Q37" s="101">
        <f>-117346+13300-7659+8666-0.02</f>
        <v>-103039.02</v>
      </c>
      <c r="R37" s="100">
        <v>-103039.02</v>
      </c>
      <c r="S37" s="213">
        <f>+R37/Q37*100</f>
        <v>100</v>
      </c>
      <c r="T37" s="214">
        <f t="shared" si="0"/>
        <v>190.14288716931122</v>
      </c>
    </row>
    <row r="38" spans="1:23" ht="30" customHeight="1" x14ac:dyDescent="0.25">
      <c r="A38" s="10"/>
      <c r="B38" s="24" t="s">
        <v>40</v>
      </c>
      <c r="C38" s="13">
        <f>+C10+C37</f>
        <v>8124660.0800000001</v>
      </c>
      <c r="D38" s="21">
        <f>+D10+D36+D37</f>
        <v>9053624</v>
      </c>
      <c r="E38" s="102">
        <f>+E10+E36+E37</f>
        <v>10137249</v>
      </c>
      <c r="F38" s="99">
        <f>+F10+F37</f>
        <v>9900017.2400000002</v>
      </c>
      <c r="G38" s="13">
        <f t="shared" ref="G38:M38" si="9">+G10+G37</f>
        <v>9794874.6999999993</v>
      </c>
      <c r="H38" s="13">
        <f t="shared" si="9"/>
        <v>48651.32</v>
      </c>
      <c r="I38" s="13">
        <f t="shared" si="9"/>
        <v>4766</v>
      </c>
      <c r="J38" s="40">
        <f t="shared" si="9"/>
        <v>26846.809999999998</v>
      </c>
      <c r="K38" s="40">
        <f t="shared" si="9"/>
        <v>24878.41</v>
      </c>
      <c r="L38" s="13">
        <f t="shared" si="9"/>
        <v>0</v>
      </c>
      <c r="M38" s="13">
        <f t="shared" si="9"/>
        <v>0</v>
      </c>
      <c r="N38" s="13">
        <f>+N10+N37</f>
        <v>105142.54</v>
      </c>
      <c r="O38" s="21">
        <f>+O10+O36+O37</f>
        <v>9418064</v>
      </c>
      <c r="P38" s="102">
        <f>+P10+P36+P37</f>
        <v>9471493</v>
      </c>
      <c r="Q38" s="102">
        <f>+Q10+Q36+Q37</f>
        <v>11877944.000000002</v>
      </c>
      <c r="R38" s="102">
        <f>+R10+R36+R37</f>
        <v>11614606.959999999</v>
      </c>
      <c r="S38" s="13">
        <f>+R38/Q38*100</f>
        <v>97.782974561927531</v>
      </c>
      <c r="T38" s="43">
        <f t="shared" si="0"/>
        <v>117.31905792115569</v>
      </c>
      <c r="V38" s="96"/>
      <c r="W38" s="96"/>
    </row>
    <row r="39" spans="1:23" ht="8.25" customHeight="1" x14ac:dyDescent="0.25">
      <c r="A39" s="25"/>
      <c r="B39" s="26"/>
      <c r="D39" s="27"/>
      <c r="E39" s="27"/>
      <c r="F39" s="27"/>
      <c r="O39" s="27"/>
      <c r="P39" s="27"/>
      <c r="Q39" s="27"/>
      <c r="R39" s="27"/>
    </row>
    <row r="40" spans="1:23" ht="8.25" customHeight="1" x14ac:dyDescent="0.25">
      <c r="A40" s="25"/>
      <c r="B40" s="26"/>
      <c r="D40" s="27"/>
      <c r="E40" s="27"/>
      <c r="F40" s="27"/>
      <c r="O40" s="27"/>
      <c r="P40" s="27"/>
      <c r="Q40" s="27"/>
      <c r="R40" s="27"/>
    </row>
    <row r="41" spans="1:23" ht="8.25" customHeight="1" x14ac:dyDescent="0.25">
      <c r="A41" s="25"/>
      <c r="B41" s="26"/>
      <c r="D41" s="27"/>
      <c r="E41" s="27"/>
      <c r="F41" s="27"/>
      <c r="O41" s="27"/>
      <c r="P41" s="27"/>
      <c r="Q41" s="27"/>
      <c r="R41" s="27"/>
    </row>
    <row r="42" spans="1:23" ht="8.25" customHeight="1" x14ac:dyDescent="0.25">
      <c r="A42" s="25"/>
      <c r="B42" s="26"/>
      <c r="D42" s="27"/>
      <c r="E42" s="27"/>
      <c r="F42" s="27"/>
      <c r="O42" s="27"/>
      <c r="P42" s="27"/>
      <c r="Q42" s="27"/>
      <c r="R42" s="27"/>
    </row>
    <row r="43" spans="1:23" s="38" customFormat="1" ht="15.75" customHeight="1" x14ac:dyDescent="0.25">
      <c r="A43" s="45">
        <v>3</v>
      </c>
      <c r="B43" s="47" t="s">
        <v>41</v>
      </c>
      <c r="C43" s="44">
        <f>+C44+C54+C81+C86</f>
        <v>7969701.4500000002</v>
      </c>
      <c r="D43" s="48">
        <f>+D44+D54+D81+D86</f>
        <v>8992624</v>
      </c>
      <c r="E43" s="103">
        <f>+E44+E54+E81+E86</f>
        <v>9382649</v>
      </c>
      <c r="F43" s="102">
        <f>+G43+N43</f>
        <v>9257249.3300000001</v>
      </c>
      <c r="G43" s="44">
        <f>+G44+G54+G81+G86</f>
        <v>9177213.7100000009</v>
      </c>
      <c r="H43" s="44">
        <f t="shared" ref="H43:M43" si="10">+H44+H54+H81+H86</f>
        <v>56309.93</v>
      </c>
      <c r="I43" s="44">
        <f t="shared" si="10"/>
        <v>4766</v>
      </c>
      <c r="J43" s="44">
        <f t="shared" si="10"/>
        <v>13547.16</v>
      </c>
      <c r="K43" s="44">
        <f t="shared" si="10"/>
        <v>5412.53</v>
      </c>
      <c r="L43" s="44">
        <f t="shared" si="10"/>
        <v>0</v>
      </c>
      <c r="M43" s="44">
        <f t="shared" si="10"/>
        <v>0</v>
      </c>
      <c r="N43" s="44">
        <f>+H43+I43+J43+K43+L43+M43</f>
        <v>80035.62</v>
      </c>
      <c r="O43" s="48">
        <f>+O44+O54+O81+O86</f>
        <v>9368064</v>
      </c>
      <c r="P43" s="103">
        <f>+P44+P54+P81+P86</f>
        <v>9420293</v>
      </c>
      <c r="Q43" s="103">
        <f>+Q44+Q54+Q81+Q86</f>
        <v>9903344</v>
      </c>
      <c r="R43" s="103">
        <f>+R44+R54+R81+R86</f>
        <v>9769234.6399999987</v>
      </c>
      <c r="S43" s="44">
        <f>+R43/Q43*100</f>
        <v>98.645817412784993</v>
      </c>
      <c r="T43" s="43">
        <f t="shared" ref="T43:T74" si="11">+R43/F43*100</f>
        <v>105.53064189748899</v>
      </c>
      <c r="V43" s="209"/>
    </row>
    <row r="44" spans="1:23" ht="15.75" customHeight="1" x14ac:dyDescent="0.25">
      <c r="A44" s="29">
        <v>31</v>
      </c>
      <c r="B44" s="36" t="s">
        <v>42</v>
      </c>
      <c r="C44" s="63">
        <f>+C45+C51+C49</f>
        <v>6303729.79</v>
      </c>
      <c r="D44" s="30">
        <f>SUM(D45:D51)</f>
        <v>7038000</v>
      </c>
      <c r="E44" s="104">
        <f>SUM(E45:E51)</f>
        <v>7181000</v>
      </c>
      <c r="F44" s="104">
        <f>+G44+N44</f>
        <v>7113530.4199999999</v>
      </c>
      <c r="G44" s="63">
        <f>+G45+G49+G51</f>
        <v>7113530.4199999999</v>
      </c>
      <c r="H44" s="63">
        <f t="shared" ref="H44:M44" si="12">+H45+H49+H51</f>
        <v>0</v>
      </c>
      <c r="I44" s="63">
        <f t="shared" si="12"/>
        <v>0</v>
      </c>
      <c r="J44" s="63">
        <f t="shared" si="12"/>
        <v>0</v>
      </c>
      <c r="K44" s="63">
        <f t="shared" si="12"/>
        <v>0</v>
      </c>
      <c r="L44" s="63">
        <f t="shared" si="12"/>
        <v>0</v>
      </c>
      <c r="M44" s="63">
        <f t="shared" si="12"/>
        <v>0</v>
      </c>
      <c r="N44" s="63">
        <f>+N45+N49+N51</f>
        <v>0</v>
      </c>
      <c r="O44" s="30">
        <f>SUM(O45:O51)</f>
        <v>7358000</v>
      </c>
      <c r="P44" s="104">
        <f>SUM(P45:P51)</f>
        <v>7358000</v>
      </c>
      <c r="Q44" s="104">
        <f>SUM(Q45:Q51)</f>
        <v>7570760</v>
      </c>
      <c r="R44" s="104">
        <f>+R45+R49+R51</f>
        <v>7514832.7400000002</v>
      </c>
      <c r="S44" s="63">
        <f>+R44/Q44*100</f>
        <v>99.261272844470042</v>
      </c>
      <c r="T44" s="43">
        <f t="shared" si="11"/>
        <v>105.64139458617794</v>
      </c>
    </row>
    <row r="45" spans="1:23" s="38" customFormat="1" ht="15.75" customHeight="1" x14ac:dyDescent="0.25">
      <c r="A45" s="29">
        <v>311</v>
      </c>
      <c r="B45" s="36" t="s">
        <v>43</v>
      </c>
      <c r="C45" s="21">
        <f>SUM(C46:C48)</f>
        <v>5106207.46</v>
      </c>
      <c r="D45" s="30">
        <f>137000+5460000</f>
        <v>5597000</v>
      </c>
      <c r="E45" s="102">
        <f>145000+5600000</f>
        <v>5745000</v>
      </c>
      <c r="F45" s="102">
        <f t="shared" ref="F45:F106" si="13">+G45+N45</f>
        <v>5705367.0200000005</v>
      </c>
      <c r="G45" s="21">
        <f>+G46+G47+G48</f>
        <v>5705367.0200000005</v>
      </c>
      <c r="H45" s="21">
        <f t="shared" ref="H45:M45" si="14">+H46+H47+H48</f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ref="N45:N106" si="15">+H45+I45+J45+K45+L45+M45</f>
        <v>0</v>
      </c>
      <c r="O45" s="30">
        <f>150000+5600000</f>
        <v>5750000</v>
      </c>
      <c r="P45" s="102">
        <f>150000+5600000</f>
        <v>5750000</v>
      </c>
      <c r="Q45" s="102">
        <v>6015000</v>
      </c>
      <c r="R45" s="102">
        <f>SUM(R46:R48)</f>
        <v>5979668.29</v>
      </c>
      <c r="S45" s="21">
        <f>+R45/Q45*100</f>
        <v>99.412606650041567</v>
      </c>
      <c r="T45" s="43">
        <f t="shared" si="11"/>
        <v>104.80777606486041</v>
      </c>
    </row>
    <row r="46" spans="1:23" ht="15.75" customHeight="1" x14ac:dyDescent="0.25">
      <c r="A46" s="32">
        <v>3111</v>
      </c>
      <c r="B46" s="33" t="s">
        <v>66</v>
      </c>
      <c r="C46" s="23">
        <v>4849326.3600000003</v>
      </c>
      <c r="D46" s="31"/>
      <c r="E46" s="105"/>
      <c r="F46" s="105">
        <f t="shared" si="13"/>
        <v>5405463.0700000003</v>
      </c>
      <c r="G46" s="23">
        <f>5271407.48+134055.59</f>
        <v>5405463.0700000003</v>
      </c>
      <c r="H46" s="23"/>
      <c r="I46" s="65"/>
      <c r="J46" s="66"/>
      <c r="K46" s="66"/>
      <c r="L46" s="65"/>
      <c r="M46" s="65"/>
      <c r="N46" s="23">
        <f t="shared" si="15"/>
        <v>0</v>
      </c>
      <c r="O46" s="31"/>
      <c r="P46" s="105"/>
      <c r="Q46" s="105"/>
      <c r="R46" s="105">
        <v>5583941.6600000001</v>
      </c>
      <c r="S46" s="23"/>
      <c r="T46" s="43">
        <f t="shared" si="11"/>
        <v>103.30181869136328</v>
      </c>
    </row>
    <row r="47" spans="1:23" ht="15.75" customHeight="1" x14ac:dyDescent="0.25">
      <c r="A47" s="32">
        <v>3113</v>
      </c>
      <c r="B47" s="33" t="s">
        <v>67</v>
      </c>
      <c r="C47" s="23">
        <v>30968.79</v>
      </c>
      <c r="D47" s="31"/>
      <c r="E47" s="105"/>
      <c r="F47" s="105">
        <f t="shared" si="13"/>
        <v>68630.63</v>
      </c>
      <c r="G47" s="23">
        <v>68630.63</v>
      </c>
      <c r="H47" s="23"/>
      <c r="I47" s="65"/>
      <c r="J47" s="66"/>
      <c r="K47" s="66"/>
      <c r="L47" s="65"/>
      <c r="M47" s="65"/>
      <c r="N47" s="23">
        <f t="shared" si="15"/>
        <v>0</v>
      </c>
      <c r="O47" s="31"/>
      <c r="P47" s="105"/>
      <c r="Q47" s="105"/>
      <c r="R47" s="105">
        <v>139532</v>
      </c>
      <c r="S47" s="23"/>
      <c r="T47" s="43">
        <f t="shared" si="11"/>
        <v>203.30863930580264</v>
      </c>
    </row>
    <row r="48" spans="1:23" ht="15.75" customHeight="1" x14ac:dyDescent="0.25">
      <c r="A48" s="32">
        <v>3114</v>
      </c>
      <c r="B48" s="33" t="s">
        <v>68</v>
      </c>
      <c r="C48" s="23">
        <v>225912.31</v>
      </c>
      <c r="D48" s="31"/>
      <c r="E48" s="105"/>
      <c r="F48" s="105">
        <f t="shared" si="13"/>
        <v>231273.32</v>
      </c>
      <c r="G48" s="23">
        <f>223305.57+7967.75</f>
        <v>231273.32</v>
      </c>
      <c r="H48" s="23"/>
      <c r="I48" s="65"/>
      <c r="J48" s="66"/>
      <c r="K48" s="66"/>
      <c r="L48" s="65"/>
      <c r="M48" s="65"/>
      <c r="N48" s="23">
        <f t="shared" si="15"/>
        <v>0</v>
      </c>
      <c r="O48" s="31"/>
      <c r="P48" s="105"/>
      <c r="Q48" s="105"/>
      <c r="R48" s="105">
        <v>256194.63</v>
      </c>
      <c r="S48" s="23"/>
      <c r="T48" s="43">
        <f t="shared" si="11"/>
        <v>110.77569604656516</v>
      </c>
    </row>
    <row r="49" spans="1:20" s="38" customFormat="1" ht="15.75" customHeight="1" x14ac:dyDescent="0.25">
      <c r="A49" s="29">
        <v>312</v>
      </c>
      <c r="B49" s="36" t="s">
        <v>44</v>
      </c>
      <c r="C49" s="21">
        <f>+C50</f>
        <v>354998.04</v>
      </c>
      <c r="D49" s="30">
        <f>188000+80000+250000</f>
        <v>518000</v>
      </c>
      <c r="E49" s="102">
        <f>111000+121000+250000</f>
        <v>482000</v>
      </c>
      <c r="F49" s="102">
        <f t="shared" si="13"/>
        <v>466777.85</v>
      </c>
      <c r="G49" s="21">
        <f>+G50</f>
        <v>466777.85</v>
      </c>
      <c r="H49" s="21">
        <f t="shared" ref="H49:M49" si="16">+H50</f>
        <v>0</v>
      </c>
      <c r="I49" s="21">
        <f t="shared" si="16"/>
        <v>0</v>
      </c>
      <c r="J49" s="21">
        <f t="shared" si="16"/>
        <v>0</v>
      </c>
      <c r="K49" s="21">
        <f t="shared" si="16"/>
        <v>0</v>
      </c>
      <c r="L49" s="21">
        <f t="shared" si="16"/>
        <v>0</v>
      </c>
      <c r="M49" s="21">
        <f t="shared" si="16"/>
        <v>0</v>
      </c>
      <c r="N49" s="21">
        <f t="shared" si="15"/>
        <v>0</v>
      </c>
      <c r="O49" s="30">
        <f>259000+144000+250000</f>
        <v>653000</v>
      </c>
      <c r="P49" s="102">
        <f>193000+210000+250000</f>
        <v>653000</v>
      </c>
      <c r="Q49" s="102">
        <v>559760</v>
      </c>
      <c r="R49" s="102">
        <f>+R50</f>
        <v>548519.12</v>
      </c>
      <c r="S49" s="21">
        <f>+R49/Q49*100</f>
        <v>97.991839359725603</v>
      </c>
      <c r="T49" s="43">
        <f t="shared" si="11"/>
        <v>117.51181423882903</v>
      </c>
    </row>
    <row r="50" spans="1:20" ht="15.75" customHeight="1" x14ac:dyDescent="0.25">
      <c r="A50" s="32">
        <v>3121</v>
      </c>
      <c r="B50" s="33" t="s">
        <v>44</v>
      </c>
      <c r="C50" s="23">
        <v>354998.04</v>
      </c>
      <c r="D50" s="31"/>
      <c r="E50" s="105"/>
      <c r="F50" s="105">
        <f t="shared" si="13"/>
        <v>466777.85</v>
      </c>
      <c r="G50" s="23">
        <f>231412.89+235364.96</f>
        <v>466777.85</v>
      </c>
      <c r="H50" s="23"/>
      <c r="I50" s="65"/>
      <c r="J50" s="66"/>
      <c r="K50" s="66"/>
      <c r="L50" s="65"/>
      <c r="M50" s="65"/>
      <c r="N50" s="23">
        <f t="shared" si="15"/>
        <v>0</v>
      </c>
      <c r="O50" s="31"/>
      <c r="P50" s="105"/>
      <c r="Q50" s="105"/>
      <c r="R50" s="105">
        <v>548519.12</v>
      </c>
      <c r="S50" s="23"/>
      <c r="T50" s="43">
        <f t="shared" si="11"/>
        <v>117.51181423882903</v>
      </c>
    </row>
    <row r="51" spans="1:20" s="38" customFormat="1" ht="15.75" customHeight="1" x14ac:dyDescent="0.25">
      <c r="A51" s="29">
        <v>313</v>
      </c>
      <c r="B51" s="36" t="s">
        <v>45</v>
      </c>
      <c r="C51" s="21">
        <f>+C52+C53</f>
        <v>842524.29</v>
      </c>
      <c r="D51" s="30">
        <f>23000+900000</f>
        <v>923000</v>
      </c>
      <c r="E51" s="102">
        <f>24000+930000</f>
        <v>954000</v>
      </c>
      <c r="F51" s="102">
        <f t="shared" si="13"/>
        <v>941385.54999999993</v>
      </c>
      <c r="G51" s="21">
        <f>+G52+G53</f>
        <v>941385.54999999993</v>
      </c>
      <c r="H51" s="21">
        <f t="shared" ref="H51:M51" si="17">+H52+H53</f>
        <v>0</v>
      </c>
      <c r="I51" s="21">
        <f t="shared" si="17"/>
        <v>0</v>
      </c>
      <c r="J51" s="21">
        <f t="shared" si="17"/>
        <v>0</v>
      </c>
      <c r="K51" s="21">
        <f t="shared" si="17"/>
        <v>0</v>
      </c>
      <c r="L51" s="21">
        <f t="shared" si="17"/>
        <v>0</v>
      </c>
      <c r="M51" s="21">
        <f t="shared" si="17"/>
        <v>0</v>
      </c>
      <c r="N51" s="21">
        <f t="shared" si="15"/>
        <v>0</v>
      </c>
      <c r="O51" s="30">
        <f>25000+930000</f>
        <v>955000</v>
      </c>
      <c r="P51" s="102">
        <f>25000+930000</f>
        <v>955000</v>
      </c>
      <c r="Q51" s="102">
        <v>996000</v>
      </c>
      <c r="R51" s="102">
        <f>+R52+R53</f>
        <v>986645.33</v>
      </c>
      <c r="S51" s="21">
        <f>+R51/Q51*100</f>
        <v>99.06077610441767</v>
      </c>
      <c r="T51" s="43">
        <f t="shared" si="11"/>
        <v>104.80778359089962</v>
      </c>
    </row>
    <row r="52" spans="1:20" s="39" customFormat="1" ht="15.75" customHeight="1" x14ac:dyDescent="0.25">
      <c r="A52" s="32">
        <v>3132</v>
      </c>
      <c r="B52" s="33" t="s">
        <v>69</v>
      </c>
      <c r="C52" s="23">
        <v>842524.29</v>
      </c>
      <c r="D52" s="31"/>
      <c r="E52" s="105"/>
      <c r="F52" s="105">
        <f t="shared" si="13"/>
        <v>941385.54999999993</v>
      </c>
      <c r="G52" s="23">
        <f>917951.7+23433.85</f>
        <v>941385.54999999993</v>
      </c>
      <c r="H52" s="23"/>
      <c r="I52" s="65"/>
      <c r="J52" s="66"/>
      <c r="K52" s="66"/>
      <c r="L52" s="65"/>
      <c r="M52" s="65"/>
      <c r="N52" s="23">
        <f t="shared" si="15"/>
        <v>0</v>
      </c>
      <c r="O52" s="31"/>
      <c r="P52" s="105"/>
      <c r="Q52" s="105"/>
      <c r="R52" s="105">
        <v>986645.33</v>
      </c>
      <c r="S52" s="23"/>
      <c r="T52" s="43">
        <f t="shared" si="11"/>
        <v>104.80778359089962</v>
      </c>
    </row>
    <row r="53" spans="1:20" s="39" customFormat="1" ht="15.75" customHeight="1" x14ac:dyDescent="0.25">
      <c r="A53" s="32">
        <v>3133</v>
      </c>
      <c r="B53" s="33" t="s">
        <v>70</v>
      </c>
      <c r="C53" s="23">
        <v>0</v>
      </c>
      <c r="D53" s="31"/>
      <c r="E53" s="105"/>
      <c r="F53" s="105">
        <f t="shared" si="13"/>
        <v>0</v>
      </c>
      <c r="G53" s="23"/>
      <c r="H53" s="23"/>
      <c r="I53" s="65"/>
      <c r="J53" s="66"/>
      <c r="K53" s="66"/>
      <c r="L53" s="65"/>
      <c r="M53" s="65"/>
      <c r="N53" s="23">
        <f t="shared" si="15"/>
        <v>0</v>
      </c>
      <c r="O53" s="31"/>
      <c r="P53" s="105"/>
      <c r="Q53" s="105"/>
      <c r="R53" s="105">
        <v>0</v>
      </c>
      <c r="S53" s="23"/>
      <c r="T53" s="43" t="e">
        <f t="shared" si="11"/>
        <v>#DIV/0!</v>
      </c>
    </row>
    <row r="54" spans="1:20" ht="15.75" customHeight="1" x14ac:dyDescent="0.25">
      <c r="A54" s="29">
        <v>32</v>
      </c>
      <c r="B54" s="35" t="s">
        <v>46</v>
      </c>
      <c r="C54" s="63">
        <f>+C55+C60+C66+C75</f>
        <v>1144142.05</v>
      </c>
      <c r="D54" s="30">
        <f>SUM(D55:D75)</f>
        <v>1265624</v>
      </c>
      <c r="E54" s="106">
        <f>SUM(E55:E75)</f>
        <v>1490949</v>
      </c>
      <c r="F54" s="104">
        <f t="shared" si="13"/>
        <v>1441229.1099999999</v>
      </c>
      <c r="G54" s="63">
        <f>+G55+G75+G60+G66</f>
        <v>1417569.42</v>
      </c>
      <c r="H54" s="63">
        <f t="shared" ref="H54:N54" si="18">+H55+H75+H60+H66</f>
        <v>0</v>
      </c>
      <c r="I54" s="63">
        <f t="shared" si="18"/>
        <v>4700</v>
      </c>
      <c r="J54" s="63">
        <f t="shared" si="18"/>
        <v>13547.16</v>
      </c>
      <c r="K54" s="63">
        <f t="shared" si="18"/>
        <v>5412.53</v>
      </c>
      <c r="L54" s="63">
        <f t="shared" si="18"/>
        <v>0</v>
      </c>
      <c r="M54" s="63">
        <f t="shared" si="18"/>
        <v>0</v>
      </c>
      <c r="N54" s="63">
        <f t="shared" si="18"/>
        <v>23659.69</v>
      </c>
      <c r="O54" s="30">
        <f>SUM(O55:O75)</f>
        <v>1300564</v>
      </c>
      <c r="P54" s="106">
        <f>SUM(P55:P75)</f>
        <v>1344293</v>
      </c>
      <c r="Q54" s="106">
        <f>SUM(Q55:Q75)</f>
        <v>1512084</v>
      </c>
      <c r="R54" s="104">
        <f>+R55+R60+R66+R75</f>
        <v>1500589.7999999998</v>
      </c>
      <c r="S54" s="63">
        <f>+R54/Q54*100</f>
        <v>99.239843818200569</v>
      </c>
      <c r="T54" s="43">
        <f t="shared" si="11"/>
        <v>104.11875458163622</v>
      </c>
    </row>
    <row r="55" spans="1:20" s="38" customFormat="1" ht="15.75" customHeight="1" x14ac:dyDescent="0.25">
      <c r="A55" s="29">
        <v>321</v>
      </c>
      <c r="B55" s="36" t="s">
        <v>47</v>
      </c>
      <c r="C55" s="21">
        <f>SUM(C56:C59)</f>
        <v>237224.89</v>
      </c>
      <c r="D55" s="30">
        <f>2100+10000+32000+339000</f>
        <v>383100</v>
      </c>
      <c r="E55" s="102">
        <f>1720+32800+44900+260000</f>
        <v>339420</v>
      </c>
      <c r="F55" s="102">
        <f t="shared" si="13"/>
        <v>337052.83</v>
      </c>
      <c r="G55" s="21">
        <f>+G57+G56+G58+G59</f>
        <v>337052.83</v>
      </c>
      <c r="H55" s="21">
        <f t="shared" ref="H55:M55" si="19">+H57+H56+H58+H59</f>
        <v>0</v>
      </c>
      <c r="I55" s="21">
        <f t="shared" si="19"/>
        <v>0</v>
      </c>
      <c r="J55" s="21">
        <f t="shared" si="19"/>
        <v>0</v>
      </c>
      <c r="K55" s="21">
        <f t="shared" si="19"/>
        <v>0</v>
      </c>
      <c r="L55" s="21">
        <f t="shared" si="19"/>
        <v>0</v>
      </c>
      <c r="M55" s="21">
        <f t="shared" si="19"/>
        <v>0</v>
      </c>
      <c r="N55" s="21">
        <f t="shared" si="15"/>
        <v>0</v>
      </c>
      <c r="O55" s="30">
        <f>1800+12500+32000+270000</f>
        <v>316300</v>
      </c>
      <c r="P55" s="102">
        <f>1950+29700+46000+270000</f>
        <v>347650</v>
      </c>
      <c r="Q55" s="102">
        <v>387885</v>
      </c>
      <c r="R55" s="102">
        <f>SUM(R56:R59)</f>
        <v>381945.59999999998</v>
      </c>
      <c r="S55" s="21">
        <f>+R55/Q55*100</f>
        <v>98.468772961058036</v>
      </c>
      <c r="T55" s="43">
        <f t="shared" si="11"/>
        <v>113.31920874243957</v>
      </c>
    </row>
    <row r="56" spans="1:20" s="39" customFormat="1" ht="15.75" customHeight="1" x14ac:dyDescent="0.25">
      <c r="A56" s="32">
        <v>3211</v>
      </c>
      <c r="B56" s="33" t="s">
        <v>80</v>
      </c>
      <c r="C56" s="23">
        <v>472</v>
      </c>
      <c r="D56" s="31"/>
      <c r="E56" s="105"/>
      <c r="F56" s="105">
        <f t="shared" si="13"/>
        <v>22738</v>
      </c>
      <c r="G56" s="23">
        <f>23+3000+19715</f>
        <v>22738</v>
      </c>
      <c r="H56" s="23"/>
      <c r="I56" s="65"/>
      <c r="J56" s="66"/>
      <c r="K56" s="66"/>
      <c r="L56" s="65"/>
      <c r="M56" s="65"/>
      <c r="N56" s="23">
        <f t="shared" si="15"/>
        <v>0</v>
      </c>
      <c r="O56" s="31"/>
      <c r="P56" s="105"/>
      <c r="Q56" s="105"/>
      <c r="R56" s="105">
        <v>18973</v>
      </c>
      <c r="S56" s="23"/>
      <c r="T56" s="43">
        <f t="shared" si="11"/>
        <v>83.44181546310142</v>
      </c>
    </row>
    <row r="57" spans="1:20" s="39" customFormat="1" ht="15.75" customHeight="1" x14ac:dyDescent="0.25">
      <c r="A57" s="32">
        <v>3212</v>
      </c>
      <c r="B57" s="33" t="s">
        <v>71</v>
      </c>
      <c r="C57" s="23">
        <v>221043.89</v>
      </c>
      <c r="D57" s="31"/>
      <c r="E57" s="105"/>
      <c r="F57" s="105">
        <f t="shared" si="13"/>
        <v>267862.83</v>
      </c>
      <c r="G57" s="23">
        <f>261930.67+5932.16</f>
        <v>267862.83</v>
      </c>
      <c r="H57" s="23"/>
      <c r="I57" s="65"/>
      <c r="J57" s="66"/>
      <c r="K57" s="66"/>
      <c r="L57" s="65"/>
      <c r="M57" s="65"/>
      <c r="N57" s="23">
        <f t="shared" si="15"/>
        <v>0</v>
      </c>
      <c r="O57" s="31"/>
      <c r="P57" s="105"/>
      <c r="Q57" s="105"/>
      <c r="R57" s="105">
        <v>344204.6</v>
      </c>
      <c r="S57" s="23"/>
      <c r="T57" s="43">
        <f t="shared" si="11"/>
        <v>128.50032234782256</v>
      </c>
    </row>
    <row r="58" spans="1:20" s="39" customFormat="1" ht="15.75" customHeight="1" x14ac:dyDescent="0.25">
      <c r="A58" s="32">
        <v>3213</v>
      </c>
      <c r="B58" s="33" t="s">
        <v>81</v>
      </c>
      <c r="C58" s="23">
        <v>12575</v>
      </c>
      <c r="D58" s="31"/>
      <c r="E58" s="105"/>
      <c r="F58" s="105">
        <f t="shared" si="13"/>
        <v>26070</v>
      </c>
      <c r="G58" s="23">
        <f>1220+20100+4750</f>
        <v>26070</v>
      </c>
      <c r="H58" s="23"/>
      <c r="I58" s="65"/>
      <c r="J58" s="66"/>
      <c r="K58" s="66"/>
      <c r="L58" s="65"/>
      <c r="M58" s="65"/>
      <c r="N58" s="23">
        <f t="shared" si="15"/>
        <v>0</v>
      </c>
      <c r="O58" s="31"/>
      <c r="P58" s="105"/>
      <c r="Q58" s="105"/>
      <c r="R58" s="105">
        <v>5235</v>
      </c>
      <c r="S58" s="23"/>
      <c r="T58" s="43">
        <f t="shared" si="11"/>
        <v>20.080552359033373</v>
      </c>
    </row>
    <row r="59" spans="1:20" s="39" customFormat="1" ht="15.75" customHeight="1" x14ac:dyDescent="0.25">
      <c r="A59" s="32">
        <v>3214</v>
      </c>
      <c r="B59" s="33" t="s">
        <v>82</v>
      </c>
      <c r="C59" s="23">
        <v>3134</v>
      </c>
      <c r="D59" s="31"/>
      <c r="E59" s="105"/>
      <c r="F59" s="105">
        <f t="shared" si="13"/>
        <v>20382</v>
      </c>
      <c r="G59" s="23">
        <v>20382</v>
      </c>
      <c r="H59" s="23"/>
      <c r="I59" s="65"/>
      <c r="J59" s="66"/>
      <c r="K59" s="66"/>
      <c r="L59" s="65"/>
      <c r="M59" s="65"/>
      <c r="N59" s="23">
        <f t="shared" si="15"/>
        <v>0</v>
      </c>
      <c r="O59" s="31"/>
      <c r="P59" s="105"/>
      <c r="Q59" s="105"/>
      <c r="R59" s="105">
        <v>13533</v>
      </c>
      <c r="S59" s="23"/>
      <c r="T59" s="43">
        <f t="shared" si="11"/>
        <v>66.396820724168379</v>
      </c>
    </row>
    <row r="60" spans="1:20" s="38" customFormat="1" ht="15.75" customHeight="1" x14ac:dyDescent="0.25">
      <c r="A60" s="29">
        <v>322</v>
      </c>
      <c r="B60" s="36" t="s">
        <v>48</v>
      </c>
      <c r="C60" s="21">
        <f>SUM(C61:C65)</f>
        <v>404189.38</v>
      </c>
      <c r="D60" s="30">
        <f>128264+110300+5100+71000</f>
        <v>314664</v>
      </c>
      <c r="E60" s="102">
        <f>234930+37500+17650+73000</f>
        <v>363080</v>
      </c>
      <c r="F60" s="102">
        <f t="shared" si="13"/>
        <v>355696.01</v>
      </c>
      <c r="G60" s="21">
        <f>+G61+G62+G63+G64+G65</f>
        <v>340400.05</v>
      </c>
      <c r="H60" s="21">
        <f t="shared" ref="H60:M60" si="20">+H61+H62+H63+H64+H65</f>
        <v>0</v>
      </c>
      <c r="I60" s="21">
        <f t="shared" si="20"/>
        <v>0</v>
      </c>
      <c r="J60" s="21">
        <f t="shared" si="20"/>
        <v>9883.43</v>
      </c>
      <c r="K60" s="21">
        <f t="shared" si="20"/>
        <v>5412.53</v>
      </c>
      <c r="L60" s="21">
        <f t="shared" si="20"/>
        <v>0</v>
      </c>
      <c r="M60" s="21">
        <f t="shared" si="20"/>
        <v>0</v>
      </c>
      <c r="N60" s="21">
        <f t="shared" si="15"/>
        <v>15295.96</v>
      </c>
      <c r="O60" s="30">
        <f>136314+8500+2300+71500</f>
        <v>218614</v>
      </c>
      <c r="P60" s="102">
        <f>108825+16121+2300+71500</f>
        <v>198746</v>
      </c>
      <c r="Q60" s="102">
        <v>288781</v>
      </c>
      <c r="R60" s="102">
        <f>SUM(R61:R65)</f>
        <v>313158.22999999992</v>
      </c>
      <c r="S60" s="21">
        <f>+R60/Q60*100</f>
        <v>108.44142447044645</v>
      </c>
      <c r="T60" s="43">
        <f t="shared" si="11"/>
        <v>88.040973526804507</v>
      </c>
    </row>
    <row r="61" spans="1:20" s="39" customFormat="1" ht="15.75" customHeight="1" x14ac:dyDescent="0.25">
      <c r="A61" s="32">
        <v>3221</v>
      </c>
      <c r="B61" s="33" t="s">
        <v>73</v>
      </c>
      <c r="C61" s="23">
        <v>90254.39</v>
      </c>
      <c r="D61" s="31"/>
      <c r="E61" s="105"/>
      <c r="F61" s="105">
        <f t="shared" si="13"/>
        <v>71090.180000000008</v>
      </c>
      <c r="G61" s="23">
        <f>144.29+38823.08+11114+15620.45</f>
        <v>65701.820000000007</v>
      </c>
      <c r="H61" s="23"/>
      <c r="I61" s="65"/>
      <c r="J61" s="66">
        <v>1175.83</v>
      </c>
      <c r="K61" s="66">
        <v>4212.53</v>
      </c>
      <c r="L61" s="65"/>
      <c r="M61" s="65"/>
      <c r="N61" s="23">
        <f t="shared" si="15"/>
        <v>5388.36</v>
      </c>
      <c r="O61" s="31"/>
      <c r="P61" s="105"/>
      <c r="Q61" s="105"/>
      <c r="R61" s="105">
        <v>64966.16</v>
      </c>
      <c r="S61" s="23"/>
      <c r="T61" s="43">
        <f t="shared" si="11"/>
        <v>91.385561268799705</v>
      </c>
    </row>
    <row r="62" spans="1:20" s="39" customFormat="1" ht="15.75" customHeight="1" x14ac:dyDescent="0.25">
      <c r="A62" s="32">
        <v>3223</v>
      </c>
      <c r="B62" s="33" t="s">
        <v>74</v>
      </c>
      <c r="C62" s="23">
        <v>212266.92</v>
      </c>
      <c r="D62" s="31"/>
      <c r="E62" s="105"/>
      <c r="F62" s="105">
        <f t="shared" si="13"/>
        <v>251017.46</v>
      </c>
      <c r="G62" s="23">
        <f>229799.07+15215.8+6002.59</f>
        <v>251017.46</v>
      </c>
      <c r="H62" s="23"/>
      <c r="I62" s="65"/>
      <c r="J62" s="66"/>
      <c r="K62" s="66"/>
      <c r="L62" s="65"/>
      <c r="M62" s="65"/>
      <c r="N62" s="23">
        <f t="shared" si="15"/>
        <v>0</v>
      </c>
      <c r="O62" s="31"/>
      <c r="P62" s="105"/>
      <c r="Q62" s="105"/>
      <c r="R62" s="105">
        <v>221207.55</v>
      </c>
      <c r="S62" s="23"/>
      <c r="T62" s="43">
        <f t="shared" si="11"/>
        <v>88.124367922454468</v>
      </c>
    </row>
    <row r="63" spans="1:20" s="39" customFormat="1" ht="21" customHeight="1" x14ac:dyDescent="0.25">
      <c r="A63" s="32">
        <v>3224</v>
      </c>
      <c r="B63" s="33" t="s">
        <v>83</v>
      </c>
      <c r="C63" s="23">
        <v>25106.12</v>
      </c>
      <c r="D63" s="31"/>
      <c r="E63" s="105"/>
      <c r="F63" s="105">
        <f t="shared" si="13"/>
        <v>6576.47</v>
      </c>
      <c r="G63" s="23">
        <v>6576.47</v>
      </c>
      <c r="H63" s="23"/>
      <c r="I63" s="65"/>
      <c r="J63" s="66"/>
      <c r="K63" s="66"/>
      <c r="L63" s="65"/>
      <c r="M63" s="65"/>
      <c r="N63" s="23">
        <f t="shared" si="15"/>
        <v>0</v>
      </c>
      <c r="O63" s="31"/>
      <c r="P63" s="105"/>
      <c r="Q63" s="105"/>
      <c r="R63" s="105">
        <v>11668.67</v>
      </c>
      <c r="S63" s="23"/>
      <c r="T63" s="43">
        <f t="shared" si="11"/>
        <v>177.43059726570635</v>
      </c>
    </row>
    <row r="64" spans="1:20" s="39" customFormat="1" ht="15.75" customHeight="1" x14ac:dyDescent="0.25">
      <c r="A64" s="32">
        <v>3225</v>
      </c>
      <c r="B64" s="33" t="s">
        <v>84</v>
      </c>
      <c r="C64" s="23">
        <v>73567.259999999995</v>
      </c>
      <c r="D64" s="31"/>
      <c r="E64" s="105"/>
      <c r="F64" s="105">
        <f t="shared" si="13"/>
        <v>26267.95</v>
      </c>
      <c r="G64" s="23">
        <f>1437.5+9375.35+3447.5+2100</f>
        <v>16360.35</v>
      </c>
      <c r="H64" s="23"/>
      <c r="I64" s="65"/>
      <c r="J64" s="66">
        <v>8707.6</v>
      </c>
      <c r="K64" s="66">
        <v>1200</v>
      </c>
      <c r="L64" s="65"/>
      <c r="M64" s="65"/>
      <c r="N64" s="23">
        <f t="shared" si="15"/>
        <v>9907.6</v>
      </c>
      <c r="O64" s="31"/>
      <c r="P64" s="105"/>
      <c r="Q64" s="105"/>
      <c r="R64" s="105">
        <v>15315.85</v>
      </c>
      <c r="S64" s="23"/>
      <c r="T64" s="43">
        <f t="shared" si="11"/>
        <v>58.306224886220662</v>
      </c>
    </row>
    <row r="65" spans="1:20" s="39" customFormat="1" ht="21" customHeight="1" x14ac:dyDescent="0.25">
      <c r="A65" s="32">
        <v>3227</v>
      </c>
      <c r="B65" s="33" t="s">
        <v>85</v>
      </c>
      <c r="C65" s="23">
        <v>2994.69</v>
      </c>
      <c r="D65" s="31"/>
      <c r="E65" s="105"/>
      <c r="F65" s="105">
        <f t="shared" si="13"/>
        <v>743.95</v>
      </c>
      <c r="G65" s="23">
        <v>743.95</v>
      </c>
      <c r="H65" s="23"/>
      <c r="I65" s="65"/>
      <c r="J65" s="66"/>
      <c r="K65" s="66"/>
      <c r="L65" s="65"/>
      <c r="M65" s="65"/>
      <c r="N65" s="23">
        <f t="shared" si="15"/>
        <v>0</v>
      </c>
      <c r="O65" s="31"/>
      <c r="P65" s="105"/>
      <c r="Q65" s="105"/>
      <c r="R65" s="105">
        <v>0</v>
      </c>
      <c r="S65" s="23"/>
      <c r="T65" s="43">
        <f t="shared" si="11"/>
        <v>0</v>
      </c>
    </row>
    <row r="66" spans="1:20" s="38" customFormat="1" ht="15.75" customHeight="1" x14ac:dyDescent="0.25">
      <c r="A66" s="29">
        <v>323</v>
      </c>
      <c r="B66" s="36" t="s">
        <v>49</v>
      </c>
      <c r="C66" s="21">
        <f>SUM(C67:C74)</f>
        <v>440422.42999999993</v>
      </c>
      <c r="D66" s="30">
        <f>65400+46760+382000</f>
        <v>494160</v>
      </c>
      <c r="E66" s="102">
        <f>59664+139760+7000+474800</f>
        <v>681224</v>
      </c>
      <c r="F66" s="102">
        <f>+G66+N66</f>
        <v>646667.69999999995</v>
      </c>
      <c r="G66" s="21">
        <f>+G67+G68+G74+G70+G71+G73+G72+G69</f>
        <v>644665.19999999995</v>
      </c>
      <c r="H66" s="21">
        <f t="shared" ref="H66:M66" si="21">+H67+H68+H74+H70+H71+H73</f>
        <v>0</v>
      </c>
      <c r="I66" s="21">
        <f t="shared" si="21"/>
        <v>0</v>
      </c>
      <c r="J66" s="21">
        <f>+J67+J68+J74+J70+J71+J73+J69</f>
        <v>2002.5</v>
      </c>
      <c r="K66" s="21">
        <f t="shared" si="21"/>
        <v>0</v>
      </c>
      <c r="L66" s="21">
        <f t="shared" si="21"/>
        <v>0</v>
      </c>
      <c r="M66" s="21">
        <f t="shared" si="21"/>
        <v>0</v>
      </c>
      <c r="N66" s="21">
        <f t="shared" si="15"/>
        <v>2002.5</v>
      </c>
      <c r="O66" s="30">
        <f>65150+48800+592500</f>
        <v>706450</v>
      </c>
      <c r="P66" s="102">
        <f>53800+75800+592500</f>
        <v>722100</v>
      </c>
      <c r="Q66" s="102">
        <v>760150</v>
      </c>
      <c r="R66" s="102">
        <f>SUM(R67:R74)</f>
        <v>734863.41999999993</v>
      </c>
      <c r="S66" s="21">
        <f>+R66/Q66*100</f>
        <v>96.673474972044986</v>
      </c>
      <c r="T66" s="43">
        <f t="shared" si="11"/>
        <v>113.63849160859587</v>
      </c>
    </row>
    <row r="67" spans="1:20" ht="15.75" customHeight="1" x14ac:dyDescent="0.25">
      <c r="A67" s="32">
        <v>3231</v>
      </c>
      <c r="B67" s="33" t="s">
        <v>75</v>
      </c>
      <c r="C67" s="23">
        <v>269400.94</v>
      </c>
      <c r="D67" s="31"/>
      <c r="E67" s="105"/>
      <c r="F67" s="105">
        <f t="shared" si="13"/>
        <v>453421.92</v>
      </c>
      <c r="G67" s="23">
        <f>15421.92+438000</f>
        <v>453421.92</v>
      </c>
      <c r="H67" s="23"/>
      <c r="I67" s="65"/>
      <c r="J67" s="66"/>
      <c r="K67" s="66"/>
      <c r="L67" s="65"/>
      <c r="M67" s="65"/>
      <c r="N67" s="23">
        <f t="shared" si="15"/>
        <v>0</v>
      </c>
      <c r="O67" s="31"/>
      <c r="P67" s="105"/>
      <c r="Q67" s="105"/>
      <c r="R67" s="105">
        <v>614319.89</v>
      </c>
      <c r="S67" s="23"/>
      <c r="T67" s="43">
        <f t="shared" si="11"/>
        <v>135.48526502644603</v>
      </c>
    </row>
    <row r="68" spans="1:20" ht="15.75" customHeight="1" x14ac:dyDescent="0.25">
      <c r="A68" s="32">
        <v>3232</v>
      </c>
      <c r="B68" s="33" t="s">
        <v>76</v>
      </c>
      <c r="C68" s="23">
        <v>84089.5</v>
      </c>
      <c r="D68" s="31"/>
      <c r="E68" s="105"/>
      <c r="F68" s="105">
        <f>+G68+N68</f>
        <v>95779.9</v>
      </c>
      <c r="G68" s="23">
        <f>2491.25+6875.65+86413</f>
        <v>95779.9</v>
      </c>
      <c r="H68" s="23"/>
      <c r="I68" s="65"/>
      <c r="J68" s="66"/>
      <c r="K68" s="66"/>
      <c r="L68" s="65"/>
      <c r="M68" s="65"/>
      <c r="N68" s="23">
        <f t="shared" si="15"/>
        <v>0</v>
      </c>
      <c r="O68" s="31"/>
      <c r="P68" s="105"/>
      <c r="Q68" s="105"/>
      <c r="R68" s="105">
        <v>19450.97</v>
      </c>
      <c r="S68" s="23"/>
      <c r="T68" s="43">
        <f t="shared" si="11"/>
        <v>20.307987375221735</v>
      </c>
    </row>
    <row r="69" spans="1:20" ht="15.75" customHeight="1" x14ac:dyDescent="0.25">
      <c r="A69" s="32">
        <v>3233</v>
      </c>
      <c r="B69" s="33" t="s">
        <v>117</v>
      </c>
      <c r="C69" s="23">
        <v>0</v>
      </c>
      <c r="D69" s="31"/>
      <c r="E69" s="105"/>
      <c r="F69" s="105">
        <f>+G69+N69</f>
        <v>5866.5</v>
      </c>
      <c r="G69" s="23">
        <v>3864</v>
      </c>
      <c r="H69" s="23"/>
      <c r="I69" s="65"/>
      <c r="J69" s="66">
        <v>2002.5</v>
      </c>
      <c r="K69" s="66"/>
      <c r="L69" s="65"/>
      <c r="M69" s="65"/>
      <c r="N69" s="23">
        <f t="shared" si="15"/>
        <v>2002.5</v>
      </c>
      <c r="O69" s="31"/>
      <c r="P69" s="105"/>
      <c r="Q69" s="105"/>
      <c r="R69" s="105">
        <v>977.5</v>
      </c>
      <c r="S69" s="23"/>
      <c r="T69" s="43">
        <f t="shared" si="11"/>
        <v>16.662405181965397</v>
      </c>
    </row>
    <row r="70" spans="1:20" ht="15.75" customHeight="1" x14ac:dyDescent="0.25">
      <c r="A70" s="32">
        <v>3234</v>
      </c>
      <c r="B70" s="33" t="s">
        <v>86</v>
      </c>
      <c r="C70" s="23">
        <v>22672.6</v>
      </c>
      <c r="D70" s="31"/>
      <c r="E70" s="105"/>
      <c r="F70" s="105">
        <f t="shared" si="13"/>
        <v>27990.99</v>
      </c>
      <c r="G70" s="23">
        <f>27749.83+241.16</f>
        <v>27990.99</v>
      </c>
      <c r="H70" s="23"/>
      <c r="I70" s="65"/>
      <c r="J70" s="66"/>
      <c r="K70" s="66"/>
      <c r="L70" s="65"/>
      <c r="M70" s="65"/>
      <c r="N70" s="23">
        <f t="shared" si="15"/>
        <v>0</v>
      </c>
      <c r="O70" s="31"/>
      <c r="P70" s="105"/>
      <c r="Q70" s="105"/>
      <c r="R70" s="105">
        <v>35964.01</v>
      </c>
      <c r="S70" s="23"/>
      <c r="T70" s="43">
        <f t="shared" si="11"/>
        <v>128.48423724920056</v>
      </c>
    </row>
    <row r="71" spans="1:20" ht="15.75" customHeight="1" x14ac:dyDescent="0.25">
      <c r="A71" s="32">
        <v>3235</v>
      </c>
      <c r="B71" s="33" t="s">
        <v>87</v>
      </c>
      <c r="C71" s="23">
        <v>44629.78</v>
      </c>
      <c r="D71" s="31"/>
      <c r="E71" s="105"/>
      <c r="F71" s="105">
        <f t="shared" si="13"/>
        <v>44079.44</v>
      </c>
      <c r="G71" s="23">
        <f>7715.82+36363.62</f>
        <v>44079.44</v>
      </c>
      <c r="H71" s="23"/>
      <c r="I71" s="65"/>
      <c r="J71" s="66"/>
      <c r="K71" s="66"/>
      <c r="L71" s="65"/>
      <c r="M71" s="65"/>
      <c r="N71" s="23">
        <f t="shared" si="15"/>
        <v>0</v>
      </c>
      <c r="O71" s="31"/>
      <c r="P71" s="105"/>
      <c r="Q71" s="105"/>
      <c r="R71" s="105">
        <v>44752.71</v>
      </c>
      <c r="S71" s="23"/>
      <c r="T71" s="43">
        <f t="shared" si="11"/>
        <v>101.52740143704185</v>
      </c>
    </row>
    <row r="72" spans="1:20" ht="15.75" customHeight="1" x14ac:dyDescent="0.25">
      <c r="A72" s="32">
        <v>3236</v>
      </c>
      <c r="B72" s="33" t="s">
        <v>115</v>
      </c>
      <c r="C72" s="23"/>
      <c r="D72" s="31"/>
      <c r="E72" s="105"/>
      <c r="F72" s="105">
        <f t="shared" si="13"/>
        <v>6600</v>
      </c>
      <c r="G72" s="23">
        <v>6600</v>
      </c>
      <c r="H72" s="23"/>
      <c r="I72" s="65"/>
      <c r="J72" s="66"/>
      <c r="K72" s="66"/>
      <c r="L72" s="65"/>
      <c r="M72" s="65"/>
      <c r="N72" s="23">
        <f t="shared" si="15"/>
        <v>0</v>
      </c>
      <c r="O72" s="31"/>
      <c r="P72" s="105"/>
      <c r="Q72" s="105"/>
      <c r="R72" s="105">
        <v>4550</v>
      </c>
      <c r="S72" s="23"/>
      <c r="T72" s="43">
        <f t="shared" si="11"/>
        <v>68.939393939393938</v>
      </c>
    </row>
    <row r="73" spans="1:20" ht="15.75" customHeight="1" x14ac:dyDescent="0.25">
      <c r="A73" s="32">
        <v>3238</v>
      </c>
      <c r="B73" s="33" t="s">
        <v>88</v>
      </c>
      <c r="C73" s="23">
        <v>13032.5</v>
      </c>
      <c r="D73" s="31"/>
      <c r="E73" s="105"/>
      <c r="F73" s="105">
        <f t="shared" si="13"/>
        <v>11622.51</v>
      </c>
      <c r="G73" s="23">
        <f>6822.51+4800</f>
        <v>11622.51</v>
      </c>
      <c r="H73" s="23"/>
      <c r="I73" s="65"/>
      <c r="J73" s="66"/>
      <c r="K73" s="66"/>
      <c r="L73" s="65"/>
      <c r="M73" s="65"/>
      <c r="N73" s="23">
        <f t="shared" si="15"/>
        <v>0</v>
      </c>
      <c r="O73" s="31"/>
      <c r="P73" s="105"/>
      <c r="Q73" s="105"/>
      <c r="R73" s="105">
        <v>12338.75</v>
      </c>
      <c r="S73" s="23"/>
      <c r="T73" s="43">
        <f t="shared" si="11"/>
        <v>106.16252427401653</v>
      </c>
    </row>
    <row r="74" spans="1:20" ht="15.75" customHeight="1" x14ac:dyDescent="0.25">
      <c r="A74" s="32">
        <v>3239</v>
      </c>
      <c r="B74" s="33" t="s">
        <v>77</v>
      </c>
      <c r="C74" s="23">
        <v>6597.11</v>
      </c>
      <c r="D74" s="31"/>
      <c r="E74" s="105"/>
      <c r="F74" s="105">
        <f t="shared" si="13"/>
        <v>1306.44</v>
      </c>
      <c r="G74" s="23">
        <f>275+1031.44</f>
        <v>1306.44</v>
      </c>
      <c r="H74" s="23"/>
      <c r="I74" s="65"/>
      <c r="J74" s="66"/>
      <c r="K74" s="66"/>
      <c r="L74" s="65"/>
      <c r="M74" s="65"/>
      <c r="N74" s="23">
        <f t="shared" si="15"/>
        <v>0</v>
      </c>
      <c r="O74" s="31"/>
      <c r="P74" s="105"/>
      <c r="Q74" s="105"/>
      <c r="R74" s="105">
        <v>2509.59</v>
      </c>
      <c r="S74" s="23"/>
      <c r="T74" s="43">
        <f t="shared" si="11"/>
        <v>192.09378157435472</v>
      </c>
    </row>
    <row r="75" spans="1:20" s="38" customFormat="1" ht="15.75" customHeight="1" x14ac:dyDescent="0.25">
      <c r="A75" s="29">
        <v>329</v>
      </c>
      <c r="B75" s="36" t="s">
        <v>50</v>
      </c>
      <c r="C75" s="21">
        <f>SUM(C76:C80)</f>
        <v>62305.35</v>
      </c>
      <c r="D75" s="30">
        <f>21500+27200+20000+5000</f>
        <v>73700</v>
      </c>
      <c r="E75" s="102">
        <f>19200+59200+20325+8500</f>
        <v>107225</v>
      </c>
      <c r="F75" s="102">
        <f t="shared" si="13"/>
        <v>101812.56999999999</v>
      </c>
      <c r="G75" s="21">
        <f>+G79+G76+G80+G77+G78</f>
        <v>95451.34</v>
      </c>
      <c r="H75" s="21">
        <f t="shared" ref="H75:M75" si="22">+H79+H76+H80+H77+H78</f>
        <v>0</v>
      </c>
      <c r="I75" s="21">
        <f t="shared" si="22"/>
        <v>4700</v>
      </c>
      <c r="J75" s="21">
        <f t="shared" si="22"/>
        <v>1661.23</v>
      </c>
      <c r="K75" s="21">
        <f t="shared" si="22"/>
        <v>0</v>
      </c>
      <c r="L75" s="21">
        <f t="shared" si="22"/>
        <v>0</v>
      </c>
      <c r="M75" s="21">
        <f t="shared" si="22"/>
        <v>0</v>
      </c>
      <c r="N75" s="21">
        <f t="shared" si="15"/>
        <v>6361.23</v>
      </c>
      <c r="O75" s="30">
        <f>9800+20400+7000+22000</f>
        <v>59200</v>
      </c>
      <c r="P75" s="102">
        <f>25418+22979+20400+7000</f>
        <v>75797</v>
      </c>
      <c r="Q75" s="102">
        <v>75268</v>
      </c>
      <c r="R75" s="102">
        <f>SUM(R76:R80)</f>
        <v>70622.55</v>
      </c>
      <c r="S75" s="21">
        <f>+R75/Q75*100</f>
        <v>93.82812084816922</v>
      </c>
      <c r="T75" s="43">
        <f t="shared" ref="T75:T107" si="23">+R75/F75*100</f>
        <v>69.365256176128355</v>
      </c>
    </row>
    <row r="76" spans="1:20" s="39" customFormat="1" ht="15.75" customHeight="1" x14ac:dyDescent="0.25">
      <c r="A76" s="32">
        <v>3292</v>
      </c>
      <c r="B76" s="33" t="s">
        <v>78</v>
      </c>
      <c r="C76" s="23">
        <v>18034.87</v>
      </c>
      <c r="D76" s="31"/>
      <c r="E76" s="105"/>
      <c r="F76" s="105">
        <f t="shared" si="13"/>
        <v>23031.82</v>
      </c>
      <c r="G76" s="23">
        <f>15642.22+7389.6</f>
        <v>23031.82</v>
      </c>
      <c r="H76" s="23"/>
      <c r="I76" s="65"/>
      <c r="J76" s="66"/>
      <c r="K76" s="66"/>
      <c r="L76" s="65"/>
      <c r="M76" s="65"/>
      <c r="N76" s="23">
        <f t="shared" si="15"/>
        <v>0</v>
      </c>
      <c r="O76" s="31"/>
      <c r="P76" s="105"/>
      <c r="Q76" s="105"/>
      <c r="R76" s="105">
        <v>29125.63</v>
      </c>
      <c r="S76" s="23"/>
      <c r="T76" s="43">
        <f t="shared" si="23"/>
        <v>126.45822171239615</v>
      </c>
    </row>
    <row r="77" spans="1:20" s="39" customFormat="1" x14ac:dyDescent="0.25">
      <c r="A77" s="32">
        <v>3293</v>
      </c>
      <c r="B77" s="33" t="s">
        <v>89</v>
      </c>
      <c r="C77" s="23">
        <v>1528.96</v>
      </c>
      <c r="D77" s="31"/>
      <c r="E77" s="105"/>
      <c r="F77" s="105">
        <f t="shared" si="13"/>
        <v>2258.04</v>
      </c>
      <c r="G77" s="23">
        <v>1514.51</v>
      </c>
      <c r="H77" s="23"/>
      <c r="I77" s="65"/>
      <c r="J77" s="66">
        <v>743.53</v>
      </c>
      <c r="K77" s="66"/>
      <c r="L77" s="65"/>
      <c r="M77" s="65"/>
      <c r="N77" s="23">
        <f t="shared" si="15"/>
        <v>743.53</v>
      </c>
      <c r="O77" s="31"/>
      <c r="P77" s="105"/>
      <c r="Q77" s="105"/>
      <c r="R77" s="105">
        <v>6117.66</v>
      </c>
      <c r="S77" s="23"/>
      <c r="T77" s="43">
        <f t="shared" si="23"/>
        <v>270.92788435988734</v>
      </c>
    </row>
    <row r="78" spans="1:20" s="39" customFormat="1" ht="15.75" customHeight="1" x14ac:dyDescent="0.25">
      <c r="A78" s="32">
        <v>3294</v>
      </c>
      <c r="B78" s="33" t="s">
        <v>90</v>
      </c>
      <c r="C78" s="23">
        <v>800</v>
      </c>
      <c r="D78" s="31"/>
      <c r="E78" s="105"/>
      <c r="F78" s="105">
        <f t="shared" si="13"/>
        <v>800</v>
      </c>
      <c r="G78" s="23">
        <v>700</v>
      </c>
      <c r="H78" s="23"/>
      <c r="I78" s="65"/>
      <c r="J78" s="66">
        <v>100</v>
      </c>
      <c r="K78" s="66"/>
      <c r="L78" s="65"/>
      <c r="M78" s="65"/>
      <c r="N78" s="23">
        <f t="shared" si="15"/>
        <v>100</v>
      </c>
      <c r="O78" s="31"/>
      <c r="P78" s="105"/>
      <c r="Q78" s="105"/>
      <c r="R78" s="105">
        <v>1300</v>
      </c>
      <c r="S78" s="23"/>
      <c r="T78" s="43">
        <f t="shared" si="23"/>
        <v>162.5</v>
      </c>
    </row>
    <row r="79" spans="1:20" ht="15.75" customHeight="1" x14ac:dyDescent="0.25">
      <c r="A79" s="32">
        <v>3295</v>
      </c>
      <c r="B79" s="33" t="s">
        <v>72</v>
      </c>
      <c r="C79" s="23">
        <v>22012.66</v>
      </c>
      <c r="D79" s="31"/>
      <c r="E79" s="105"/>
      <c r="F79" s="105">
        <f t="shared" si="13"/>
        <v>19961.25</v>
      </c>
      <c r="G79" s="23">
        <f>19475+486.25</f>
        <v>19961.25</v>
      </c>
      <c r="H79" s="23"/>
      <c r="I79" s="65"/>
      <c r="J79" s="66"/>
      <c r="K79" s="66"/>
      <c r="L79" s="65"/>
      <c r="M79" s="65"/>
      <c r="N79" s="23">
        <f t="shared" si="15"/>
        <v>0</v>
      </c>
      <c r="O79" s="31"/>
      <c r="P79" s="105"/>
      <c r="Q79" s="105"/>
      <c r="R79" s="105">
        <v>12012.5</v>
      </c>
      <c r="S79" s="23"/>
      <c r="T79" s="43">
        <f t="shared" si="23"/>
        <v>60.179097000438354</v>
      </c>
    </row>
    <row r="80" spans="1:20" ht="15.75" customHeight="1" x14ac:dyDescent="0.25">
      <c r="A80" s="32">
        <v>3299</v>
      </c>
      <c r="B80" s="33" t="s">
        <v>50</v>
      </c>
      <c r="C80" s="23">
        <v>19928.86</v>
      </c>
      <c r="D80" s="31"/>
      <c r="E80" s="105"/>
      <c r="F80" s="105">
        <f t="shared" si="13"/>
        <v>55761.46</v>
      </c>
      <c r="G80" s="23">
        <f>643.76+350+49250</f>
        <v>50243.76</v>
      </c>
      <c r="H80" s="23"/>
      <c r="I80" s="65">
        <v>4700</v>
      </c>
      <c r="J80" s="66">
        <f>100+717.7</f>
        <v>817.7</v>
      </c>
      <c r="K80" s="66"/>
      <c r="L80" s="65"/>
      <c r="M80" s="65"/>
      <c r="N80" s="23">
        <f t="shared" si="15"/>
        <v>5517.7</v>
      </c>
      <c r="O80" s="31"/>
      <c r="P80" s="105"/>
      <c r="Q80" s="105"/>
      <c r="R80" s="105">
        <v>22066.76</v>
      </c>
      <c r="S80" s="23"/>
      <c r="T80" s="43">
        <f t="shared" si="23"/>
        <v>39.573497537546537</v>
      </c>
    </row>
    <row r="81" spans="1:22" s="38" customFormat="1" ht="15.75" customHeight="1" x14ac:dyDescent="0.25">
      <c r="A81" s="29">
        <v>34</v>
      </c>
      <c r="B81" s="35" t="s">
        <v>51</v>
      </c>
      <c r="C81" s="63">
        <f>+C82</f>
        <v>4063.67</v>
      </c>
      <c r="D81" s="30">
        <f>+D82</f>
        <v>4000</v>
      </c>
      <c r="E81" s="104">
        <f>+E82</f>
        <v>5750</v>
      </c>
      <c r="F81" s="104">
        <f t="shared" si="13"/>
        <v>5708.47</v>
      </c>
      <c r="G81" s="63">
        <f>+G82</f>
        <v>5708.47</v>
      </c>
      <c r="H81" s="63">
        <f t="shared" ref="H81:M81" si="24">+H82</f>
        <v>0</v>
      </c>
      <c r="I81" s="63">
        <f t="shared" si="24"/>
        <v>0</v>
      </c>
      <c r="J81" s="64">
        <f t="shared" si="24"/>
        <v>0</v>
      </c>
      <c r="K81" s="64">
        <f t="shared" si="24"/>
        <v>0</v>
      </c>
      <c r="L81" s="63">
        <f t="shared" si="24"/>
        <v>0</v>
      </c>
      <c r="M81" s="63">
        <f t="shared" si="24"/>
        <v>0</v>
      </c>
      <c r="N81" s="63">
        <f t="shared" si="15"/>
        <v>0</v>
      </c>
      <c r="O81" s="30">
        <f>+O82</f>
        <v>6000</v>
      </c>
      <c r="P81" s="104">
        <f>+P82</f>
        <v>7500</v>
      </c>
      <c r="Q81" s="104">
        <f>+Q82</f>
        <v>6500</v>
      </c>
      <c r="R81" s="104">
        <f>+R82</f>
        <v>6565.9000000000005</v>
      </c>
      <c r="S81" s="63">
        <f>+R81/Q81*100</f>
        <v>101.01384615384616</v>
      </c>
      <c r="T81" s="43">
        <f t="shared" si="23"/>
        <v>115.0203119224591</v>
      </c>
    </row>
    <row r="82" spans="1:22" s="38" customFormat="1" ht="15.75" customHeight="1" x14ac:dyDescent="0.25">
      <c r="A82" s="29">
        <v>343</v>
      </c>
      <c r="B82" s="36" t="s">
        <v>52</v>
      </c>
      <c r="C82" s="21">
        <f>+C83+C85</f>
        <v>4063.67</v>
      </c>
      <c r="D82" s="30">
        <v>4000</v>
      </c>
      <c r="E82" s="102">
        <v>5750</v>
      </c>
      <c r="F82" s="102">
        <f t="shared" si="13"/>
        <v>5708.47</v>
      </c>
      <c r="G82" s="21">
        <f>+G83+G85</f>
        <v>5708.47</v>
      </c>
      <c r="H82" s="21">
        <f t="shared" ref="H82:M82" si="25">+H83+H85</f>
        <v>0</v>
      </c>
      <c r="I82" s="21">
        <f t="shared" si="25"/>
        <v>0</v>
      </c>
      <c r="J82" s="21">
        <f t="shared" si="25"/>
        <v>0</v>
      </c>
      <c r="K82" s="21">
        <f t="shared" si="25"/>
        <v>0</v>
      </c>
      <c r="L82" s="21">
        <f t="shared" si="25"/>
        <v>0</v>
      </c>
      <c r="M82" s="21">
        <f t="shared" si="25"/>
        <v>0</v>
      </c>
      <c r="N82" s="21">
        <f t="shared" si="15"/>
        <v>0</v>
      </c>
      <c r="O82" s="30">
        <v>6000</v>
      </c>
      <c r="P82" s="102">
        <v>7500</v>
      </c>
      <c r="Q82" s="102">
        <v>6500</v>
      </c>
      <c r="R82" s="102">
        <f>+R83+R85+R84</f>
        <v>6565.9000000000005</v>
      </c>
      <c r="S82" s="21">
        <f>+R82/Q82*100</f>
        <v>101.01384615384616</v>
      </c>
      <c r="T82" s="43">
        <f t="shared" si="23"/>
        <v>115.0203119224591</v>
      </c>
    </row>
    <row r="83" spans="1:22" ht="22.5" customHeight="1" x14ac:dyDescent="0.25">
      <c r="A83" s="32">
        <v>3431</v>
      </c>
      <c r="B83" s="33" t="s">
        <v>91</v>
      </c>
      <c r="C83" s="23">
        <v>4063.67</v>
      </c>
      <c r="D83" s="31"/>
      <c r="E83" s="105"/>
      <c r="F83" s="105">
        <f t="shared" si="13"/>
        <v>5708.47</v>
      </c>
      <c r="G83" s="23">
        <v>5708.47</v>
      </c>
      <c r="H83" s="23"/>
      <c r="I83" s="65"/>
      <c r="J83" s="66"/>
      <c r="K83" s="66"/>
      <c r="L83" s="65"/>
      <c r="M83" s="65"/>
      <c r="N83" s="23">
        <f t="shared" si="15"/>
        <v>0</v>
      </c>
      <c r="O83" s="31"/>
      <c r="P83" s="105"/>
      <c r="Q83" s="105"/>
      <c r="R83" s="105">
        <v>6564.51</v>
      </c>
      <c r="S83" s="23"/>
      <c r="T83" s="43">
        <f t="shared" si="23"/>
        <v>114.99596214046845</v>
      </c>
    </row>
    <row r="84" spans="1:22" ht="22.5" customHeight="1" x14ac:dyDescent="0.25">
      <c r="A84" s="32">
        <v>3433</v>
      </c>
      <c r="B84" s="33" t="s">
        <v>208</v>
      </c>
      <c r="C84" s="23"/>
      <c r="D84" s="31"/>
      <c r="E84" s="105"/>
      <c r="F84" s="105"/>
      <c r="G84" s="23"/>
      <c r="H84" s="23"/>
      <c r="I84" s="65"/>
      <c r="J84" s="66"/>
      <c r="K84" s="66"/>
      <c r="L84" s="65"/>
      <c r="M84" s="65"/>
      <c r="N84" s="23"/>
      <c r="O84" s="31"/>
      <c r="P84" s="105"/>
      <c r="Q84" s="105"/>
      <c r="R84" s="105">
        <v>1.39</v>
      </c>
      <c r="S84" s="23"/>
      <c r="T84" s="43"/>
    </row>
    <row r="85" spans="1:22" ht="15.75" customHeight="1" x14ac:dyDescent="0.25">
      <c r="A85" s="32">
        <v>3434</v>
      </c>
      <c r="B85" s="33" t="s">
        <v>92</v>
      </c>
      <c r="C85" s="23">
        <v>0</v>
      </c>
      <c r="D85" s="31"/>
      <c r="E85" s="105"/>
      <c r="F85" s="105">
        <f t="shared" si="13"/>
        <v>0</v>
      </c>
      <c r="G85" s="23"/>
      <c r="H85" s="23"/>
      <c r="I85" s="65"/>
      <c r="J85" s="66"/>
      <c r="K85" s="66"/>
      <c r="L85" s="65"/>
      <c r="M85" s="65"/>
      <c r="N85" s="23">
        <f t="shared" si="15"/>
        <v>0</v>
      </c>
      <c r="O85" s="31"/>
      <c r="P85" s="105"/>
      <c r="Q85" s="105"/>
      <c r="R85" s="105">
        <v>0</v>
      </c>
      <c r="S85" s="23"/>
      <c r="T85" s="43" t="e">
        <f t="shared" si="23"/>
        <v>#DIV/0!</v>
      </c>
    </row>
    <row r="86" spans="1:22" ht="15.75" customHeight="1" x14ac:dyDescent="0.25">
      <c r="A86" s="29">
        <v>37</v>
      </c>
      <c r="B86" s="36" t="s">
        <v>53</v>
      </c>
      <c r="C86" s="63">
        <f>+C87</f>
        <v>517765.94</v>
      </c>
      <c r="D86" s="30">
        <f>+D87</f>
        <v>685000</v>
      </c>
      <c r="E86" s="104">
        <f>+E87</f>
        <v>704950</v>
      </c>
      <c r="F86" s="104">
        <f t="shared" si="13"/>
        <v>696781.33000000007</v>
      </c>
      <c r="G86" s="63">
        <f>+G87</f>
        <v>640405.4</v>
      </c>
      <c r="H86" s="63">
        <f t="shared" ref="H86:M87" si="26">+H87</f>
        <v>56309.93</v>
      </c>
      <c r="I86" s="63">
        <f t="shared" si="26"/>
        <v>66</v>
      </c>
      <c r="J86" s="64">
        <f t="shared" si="26"/>
        <v>0</v>
      </c>
      <c r="K86" s="64">
        <f t="shared" si="26"/>
        <v>0</v>
      </c>
      <c r="L86" s="63">
        <f t="shared" si="26"/>
        <v>0</v>
      </c>
      <c r="M86" s="63">
        <f t="shared" si="26"/>
        <v>0</v>
      </c>
      <c r="N86" s="63">
        <f t="shared" si="15"/>
        <v>56375.93</v>
      </c>
      <c r="O86" s="30">
        <f>+O87</f>
        <v>703500</v>
      </c>
      <c r="P86" s="104">
        <f>+P87</f>
        <v>710500</v>
      </c>
      <c r="Q86" s="104">
        <f>+Q87</f>
        <v>814000</v>
      </c>
      <c r="R86" s="104">
        <f>+R87</f>
        <v>747246.2</v>
      </c>
      <c r="S86" s="63">
        <f>+R86/Q86*100</f>
        <v>91.799287469287464</v>
      </c>
      <c r="T86" s="43">
        <f t="shared" si="23"/>
        <v>107.242569200297</v>
      </c>
    </row>
    <row r="87" spans="1:22" s="38" customFormat="1" ht="22.5" customHeight="1" x14ac:dyDescent="0.25">
      <c r="A87" s="29">
        <v>372</v>
      </c>
      <c r="B87" s="36" t="s">
        <v>54</v>
      </c>
      <c r="C87" s="21">
        <f>+C88</f>
        <v>517765.94</v>
      </c>
      <c r="D87" s="30">
        <f>137500+10000+8500+529000</f>
        <v>685000</v>
      </c>
      <c r="E87" s="102">
        <f>117000+9000+8950+570000</f>
        <v>704950</v>
      </c>
      <c r="F87" s="102">
        <f t="shared" si="13"/>
        <v>696781.33000000007</v>
      </c>
      <c r="G87" s="21">
        <f>+G88</f>
        <v>640405.4</v>
      </c>
      <c r="H87" s="21">
        <f t="shared" si="26"/>
        <v>56309.93</v>
      </c>
      <c r="I87" s="21">
        <f t="shared" si="26"/>
        <v>66</v>
      </c>
      <c r="J87" s="21">
        <f t="shared" si="26"/>
        <v>0</v>
      </c>
      <c r="K87" s="21">
        <f t="shared" si="26"/>
        <v>0</v>
      </c>
      <c r="L87" s="21">
        <f t="shared" si="26"/>
        <v>0</v>
      </c>
      <c r="M87" s="21">
        <f t="shared" si="26"/>
        <v>0</v>
      </c>
      <c r="N87" s="21">
        <f t="shared" si="15"/>
        <v>56375.93</v>
      </c>
      <c r="O87" s="30">
        <f>100000+10000+30000+8500+555000</f>
        <v>703500</v>
      </c>
      <c r="P87" s="102">
        <f>107000+10000+30000+8500+555000</f>
        <v>710500</v>
      </c>
      <c r="Q87" s="102">
        <v>814000</v>
      </c>
      <c r="R87" s="102">
        <f>+R88</f>
        <v>747246.2</v>
      </c>
      <c r="S87" s="21">
        <f>+R87/Q87*100</f>
        <v>91.799287469287464</v>
      </c>
      <c r="T87" s="43">
        <f t="shared" si="23"/>
        <v>107.242569200297</v>
      </c>
    </row>
    <row r="88" spans="1:22" ht="22.5" customHeight="1" x14ac:dyDescent="0.25">
      <c r="A88" s="32">
        <v>3722</v>
      </c>
      <c r="B88" s="33" t="s">
        <v>53</v>
      </c>
      <c r="C88" s="23">
        <v>517765.94</v>
      </c>
      <c r="D88" s="31"/>
      <c r="E88" s="105"/>
      <c r="F88" s="105">
        <f t="shared" si="13"/>
        <v>696781.33000000007</v>
      </c>
      <c r="G88" s="23">
        <f>568039.52+59055.77+4378.11+8932</f>
        <v>640405.4</v>
      </c>
      <c r="H88" s="23">
        <v>56309.93</v>
      </c>
      <c r="I88" s="65">
        <v>66</v>
      </c>
      <c r="J88" s="66"/>
      <c r="K88" s="66"/>
      <c r="L88" s="65"/>
      <c r="M88" s="65"/>
      <c r="N88" s="23">
        <f t="shared" si="15"/>
        <v>56375.93</v>
      </c>
      <c r="O88" s="31"/>
      <c r="P88" s="105"/>
      <c r="Q88" s="105"/>
      <c r="R88" s="105">
        <v>747246.2</v>
      </c>
      <c r="S88" s="23"/>
      <c r="T88" s="43">
        <f t="shared" si="23"/>
        <v>107.242569200297</v>
      </c>
    </row>
    <row r="89" spans="1:22" s="14" customFormat="1" ht="25.5" customHeight="1" x14ac:dyDescent="0.2">
      <c r="A89" s="49">
        <v>4</v>
      </c>
      <c r="B89" s="50" t="s">
        <v>55</v>
      </c>
      <c r="C89" s="67">
        <f>+C90+C95+C104</f>
        <v>209148.94</v>
      </c>
      <c r="D89" s="92">
        <f>+D95++D104+D90+D100</f>
        <v>61000</v>
      </c>
      <c r="E89" s="107">
        <f>+E95++E104+E90+E100</f>
        <v>754600</v>
      </c>
      <c r="F89" s="107">
        <f>+F95++F104+F90</f>
        <v>745806.92999999993</v>
      </c>
      <c r="G89" s="111">
        <f t="shared" ref="G89:N89" si="27">+G95++G104+G90</f>
        <v>735006.92999999993</v>
      </c>
      <c r="H89" s="111">
        <f t="shared" si="27"/>
        <v>0</v>
      </c>
      <c r="I89" s="111">
        <f t="shared" si="27"/>
        <v>0</v>
      </c>
      <c r="J89" s="111">
        <f t="shared" si="27"/>
        <v>0</v>
      </c>
      <c r="K89" s="111">
        <f t="shared" si="27"/>
        <v>10800</v>
      </c>
      <c r="L89" s="111">
        <f t="shared" si="27"/>
        <v>0</v>
      </c>
      <c r="M89" s="111">
        <f t="shared" si="27"/>
        <v>0</v>
      </c>
      <c r="N89" s="111">
        <f t="shared" si="27"/>
        <v>10800</v>
      </c>
      <c r="O89" s="92">
        <f>+O95++O104+O90+O100</f>
        <v>50000</v>
      </c>
      <c r="P89" s="107">
        <f>+P95++P104+P90+P100</f>
        <v>51200</v>
      </c>
      <c r="Q89" s="107">
        <f>+Q95++Q104+Q90+Q100</f>
        <v>1974600</v>
      </c>
      <c r="R89" s="107">
        <f>+R95++R104+R90</f>
        <v>1876266.2899999998</v>
      </c>
      <c r="S89" s="92">
        <f>+R89/Q89*100</f>
        <v>95.020069381140473</v>
      </c>
      <c r="T89" s="43">
        <f t="shared" si="23"/>
        <v>251.57533599211797</v>
      </c>
      <c r="V89" s="216"/>
    </row>
    <row r="90" spans="1:22" s="14" customFormat="1" ht="21.75" customHeight="1" x14ac:dyDescent="0.2">
      <c r="A90" s="29">
        <v>41</v>
      </c>
      <c r="B90" s="36" t="s">
        <v>56</v>
      </c>
      <c r="C90" s="63">
        <f>+C93</f>
        <v>1875</v>
      </c>
      <c r="D90" s="30"/>
      <c r="E90" s="104">
        <f>+E93</f>
        <v>0</v>
      </c>
      <c r="F90" s="104">
        <f>+G90+N90</f>
        <v>0</v>
      </c>
      <c r="G90" s="63">
        <f t="shared" ref="G90:M90" si="28">+G93</f>
        <v>0</v>
      </c>
      <c r="H90" s="63">
        <f t="shared" si="28"/>
        <v>0</v>
      </c>
      <c r="I90" s="63">
        <f t="shared" si="28"/>
        <v>0</v>
      </c>
      <c r="J90" s="64">
        <f t="shared" si="28"/>
        <v>0</v>
      </c>
      <c r="K90" s="64">
        <f t="shared" si="28"/>
        <v>0</v>
      </c>
      <c r="L90" s="63">
        <f t="shared" si="28"/>
        <v>0</v>
      </c>
      <c r="M90" s="63">
        <f t="shared" si="28"/>
        <v>0</v>
      </c>
      <c r="N90" s="63">
        <f t="shared" si="15"/>
        <v>0</v>
      </c>
      <c r="O90" s="30"/>
      <c r="P90" s="104">
        <f>+P93</f>
        <v>0</v>
      </c>
      <c r="Q90" s="104">
        <f>+Q93+Q91</f>
        <v>1900000</v>
      </c>
      <c r="R90" s="104">
        <f>+R93+R91</f>
        <v>1816164.89</v>
      </c>
      <c r="S90" s="63">
        <f>+R90/Q90*100</f>
        <v>95.587625789473677</v>
      </c>
      <c r="T90" s="43" t="e">
        <f t="shared" si="23"/>
        <v>#DIV/0!</v>
      </c>
    </row>
    <row r="91" spans="1:22" s="14" customFormat="1" ht="21.75" customHeight="1" x14ac:dyDescent="0.2">
      <c r="A91" s="29">
        <v>411</v>
      </c>
      <c r="B91" s="36" t="s">
        <v>205</v>
      </c>
      <c r="C91" s="63"/>
      <c r="D91" s="30"/>
      <c r="E91" s="104"/>
      <c r="F91" s="104"/>
      <c r="G91" s="63"/>
      <c r="H91" s="63"/>
      <c r="I91" s="63"/>
      <c r="J91" s="64"/>
      <c r="K91" s="64"/>
      <c r="L91" s="63"/>
      <c r="M91" s="63"/>
      <c r="N91" s="63"/>
      <c r="O91" s="30"/>
      <c r="P91" s="104"/>
      <c r="Q91" s="104">
        <v>1900000</v>
      </c>
      <c r="R91" s="104">
        <f>+R92</f>
        <v>1816164.89</v>
      </c>
      <c r="S91" s="63"/>
      <c r="T91" s="43"/>
    </row>
    <row r="92" spans="1:22" s="14" customFormat="1" ht="21.75" customHeight="1" x14ac:dyDescent="0.2">
      <c r="A92" s="32">
        <v>4111</v>
      </c>
      <c r="B92" s="33" t="s">
        <v>206</v>
      </c>
      <c r="C92" s="68"/>
      <c r="D92" s="31"/>
      <c r="E92" s="108"/>
      <c r="F92" s="108"/>
      <c r="G92" s="68"/>
      <c r="H92" s="68"/>
      <c r="I92" s="68"/>
      <c r="J92" s="76"/>
      <c r="K92" s="76"/>
      <c r="L92" s="68"/>
      <c r="M92" s="68"/>
      <c r="N92" s="68"/>
      <c r="O92" s="31"/>
      <c r="P92" s="108"/>
      <c r="Q92" s="108"/>
      <c r="R92" s="108">
        <v>1816164.89</v>
      </c>
      <c r="S92" s="68"/>
      <c r="T92" s="214"/>
    </row>
    <row r="93" spans="1:22" s="14" customFormat="1" ht="15.75" customHeight="1" x14ac:dyDescent="0.2">
      <c r="A93" s="29">
        <v>412</v>
      </c>
      <c r="B93" s="36" t="s">
        <v>57</v>
      </c>
      <c r="C93" s="63">
        <f>+C94</f>
        <v>1875</v>
      </c>
      <c r="D93" s="30"/>
      <c r="E93" s="104"/>
      <c r="F93" s="104">
        <f t="shared" si="13"/>
        <v>0</v>
      </c>
      <c r="G93" s="63">
        <f>+G94</f>
        <v>0</v>
      </c>
      <c r="H93" s="63">
        <f t="shared" ref="H93:M93" si="29">+H94</f>
        <v>0</v>
      </c>
      <c r="I93" s="63">
        <f t="shared" si="29"/>
        <v>0</v>
      </c>
      <c r="J93" s="64">
        <f t="shared" si="29"/>
        <v>0</v>
      </c>
      <c r="K93" s="64">
        <f t="shared" si="29"/>
        <v>0</v>
      </c>
      <c r="L93" s="63">
        <f t="shared" si="29"/>
        <v>0</v>
      </c>
      <c r="M93" s="63">
        <f t="shared" si="29"/>
        <v>0</v>
      </c>
      <c r="N93" s="63">
        <f t="shared" si="15"/>
        <v>0</v>
      </c>
      <c r="O93" s="30"/>
      <c r="P93" s="104"/>
      <c r="Q93" s="104"/>
      <c r="R93" s="104">
        <f>+R94</f>
        <v>0</v>
      </c>
      <c r="S93" s="63" t="e">
        <f>+R93/Q93*100</f>
        <v>#DIV/0!</v>
      </c>
      <c r="T93" s="43" t="e">
        <f t="shared" si="23"/>
        <v>#DIV/0!</v>
      </c>
    </row>
    <row r="94" spans="1:22" s="2" customFormat="1" ht="15.75" customHeight="1" x14ac:dyDescent="0.2">
      <c r="A94" s="32">
        <v>4123</v>
      </c>
      <c r="B94" s="33" t="s">
        <v>93</v>
      </c>
      <c r="C94" s="68">
        <v>1875</v>
      </c>
      <c r="D94" s="31"/>
      <c r="E94" s="108"/>
      <c r="F94" s="108">
        <f t="shared" si="13"/>
        <v>0</v>
      </c>
      <c r="G94" s="68"/>
      <c r="H94" s="68"/>
      <c r="I94" s="18"/>
      <c r="J94" s="42"/>
      <c r="K94" s="42"/>
      <c r="L94" s="18"/>
      <c r="M94" s="18"/>
      <c r="N94" s="68">
        <f t="shared" si="15"/>
        <v>0</v>
      </c>
      <c r="O94" s="31"/>
      <c r="P94" s="108"/>
      <c r="Q94" s="108"/>
      <c r="R94" s="108">
        <v>0</v>
      </c>
      <c r="S94" s="68"/>
      <c r="T94" s="43" t="e">
        <f t="shared" si="23"/>
        <v>#DIV/0!</v>
      </c>
    </row>
    <row r="95" spans="1:22" ht="23.25" customHeight="1" x14ac:dyDescent="0.25">
      <c r="A95" s="29">
        <v>42</v>
      </c>
      <c r="B95" s="36" t="s">
        <v>58</v>
      </c>
      <c r="C95" s="63">
        <f>+C96+C100</f>
        <v>207273.94</v>
      </c>
      <c r="D95" s="30">
        <f>+D96</f>
        <v>44000</v>
      </c>
      <c r="E95" s="107">
        <f>+E96</f>
        <v>82600</v>
      </c>
      <c r="F95" s="104">
        <f>+G95+N95</f>
        <v>92426.93</v>
      </c>
      <c r="G95" s="64">
        <f>+G96+G100+G102</f>
        <v>81626.929999999993</v>
      </c>
      <c r="H95" s="64">
        <f t="shared" ref="H95:M95" si="30">+H96+H100+H102</f>
        <v>0</v>
      </c>
      <c r="I95" s="64">
        <f t="shared" si="30"/>
        <v>0</v>
      </c>
      <c r="J95" s="64">
        <f t="shared" si="30"/>
        <v>0</v>
      </c>
      <c r="K95" s="64">
        <f t="shared" si="30"/>
        <v>10800</v>
      </c>
      <c r="L95" s="64">
        <f t="shared" si="30"/>
        <v>0</v>
      </c>
      <c r="M95" s="64">
        <f t="shared" si="30"/>
        <v>0</v>
      </c>
      <c r="N95" s="63">
        <f t="shared" si="15"/>
        <v>10800</v>
      </c>
      <c r="O95" s="30">
        <f>+O96</f>
        <v>33000</v>
      </c>
      <c r="P95" s="107">
        <f>+P96</f>
        <v>34200</v>
      </c>
      <c r="Q95" s="107">
        <f>+Q96</f>
        <v>58600</v>
      </c>
      <c r="R95" s="104">
        <f>+R96+R100</f>
        <v>60101.4</v>
      </c>
      <c r="S95" s="63">
        <f>+R95/Q95*100</f>
        <v>102.56211604095564</v>
      </c>
      <c r="T95" s="43">
        <f t="shared" si="23"/>
        <v>65.025853395758148</v>
      </c>
    </row>
    <row r="96" spans="1:22" s="38" customFormat="1" ht="15.75" customHeight="1" x14ac:dyDescent="0.25">
      <c r="A96" s="29">
        <v>422</v>
      </c>
      <c r="B96" s="35" t="s">
        <v>59</v>
      </c>
      <c r="C96" s="21">
        <f>+C97+C99+C98</f>
        <v>188654.74</v>
      </c>
      <c r="D96" s="30">
        <f>16000+28000</f>
        <v>44000</v>
      </c>
      <c r="E96" s="102">
        <f>58100+24500</f>
        <v>82600</v>
      </c>
      <c r="F96" s="102">
        <f t="shared" si="13"/>
        <v>69912.5</v>
      </c>
      <c r="G96" s="21">
        <f>+G97+G99+G98</f>
        <v>66912.5</v>
      </c>
      <c r="H96" s="21">
        <f t="shared" ref="H96:N96" si="31">+H97+H99+H98</f>
        <v>0</v>
      </c>
      <c r="I96" s="21">
        <f t="shared" si="31"/>
        <v>0</v>
      </c>
      <c r="J96" s="21">
        <f t="shared" si="31"/>
        <v>0</v>
      </c>
      <c r="K96" s="21">
        <f t="shared" si="31"/>
        <v>3000</v>
      </c>
      <c r="L96" s="21">
        <f t="shared" si="31"/>
        <v>0</v>
      </c>
      <c r="M96" s="21">
        <f t="shared" si="31"/>
        <v>0</v>
      </c>
      <c r="N96" s="21">
        <f t="shared" si="31"/>
        <v>3000</v>
      </c>
      <c r="O96" s="30">
        <f>15000+18000</f>
        <v>33000</v>
      </c>
      <c r="P96" s="102">
        <f>15000+19200</f>
        <v>34200</v>
      </c>
      <c r="Q96" s="102">
        <v>58600</v>
      </c>
      <c r="R96" s="102">
        <f>+R97+R98+R99</f>
        <v>46639.14</v>
      </c>
      <c r="S96" s="21">
        <f>+R96/Q96*100</f>
        <v>79.588976109215011</v>
      </c>
      <c r="T96" s="43">
        <f t="shared" si="23"/>
        <v>66.710731271231893</v>
      </c>
    </row>
    <row r="97" spans="1:23" ht="15.75" customHeight="1" x14ac:dyDescent="0.25">
      <c r="A97" s="32">
        <v>4221</v>
      </c>
      <c r="B97" s="37" t="s">
        <v>79</v>
      </c>
      <c r="C97" s="23">
        <v>144646.5</v>
      </c>
      <c r="D97" s="31"/>
      <c r="E97" s="105"/>
      <c r="F97" s="105">
        <f>+G97+N97</f>
        <v>3000</v>
      </c>
      <c r="G97" s="23"/>
      <c r="H97" s="23"/>
      <c r="I97" s="65"/>
      <c r="J97" s="66"/>
      <c r="K97" s="66">
        <v>3000</v>
      </c>
      <c r="L97" s="65"/>
      <c r="M97" s="65"/>
      <c r="N97" s="23">
        <f t="shared" si="15"/>
        <v>3000</v>
      </c>
      <c r="O97" s="31"/>
      <c r="P97" s="105"/>
      <c r="Q97" s="105"/>
      <c r="R97" s="105">
        <v>44470.239999999998</v>
      </c>
      <c r="S97" s="23"/>
      <c r="T97" s="43">
        <f t="shared" si="23"/>
        <v>1482.3413333333333</v>
      </c>
    </row>
    <row r="98" spans="1:23" ht="15.75" customHeight="1" x14ac:dyDescent="0.25">
      <c r="A98" s="32">
        <v>4222</v>
      </c>
      <c r="B98" s="37" t="s">
        <v>111</v>
      </c>
      <c r="C98" s="23">
        <v>5923.25</v>
      </c>
      <c r="D98" s="31"/>
      <c r="E98" s="105"/>
      <c r="F98" s="105">
        <f>+G98+N98</f>
        <v>0</v>
      </c>
      <c r="G98" s="23"/>
      <c r="H98" s="23"/>
      <c r="I98" s="65"/>
      <c r="J98" s="66"/>
      <c r="K98" s="66"/>
      <c r="L98" s="65"/>
      <c r="M98" s="65"/>
      <c r="N98" s="23">
        <f t="shared" si="15"/>
        <v>0</v>
      </c>
      <c r="O98" s="31"/>
      <c r="P98" s="105"/>
      <c r="Q98" s="105"/>
      <c r="R98" s="105">
        <v>0</v>
      </c>
      <c r="S98" s="23"/>
      <c r="T98" s="43" t="e">
        <f t="shared" si="23"/>
        <v>#DIV/0!</v>
      </c>
    </row>
    <row r="99" spans="1:23" s="39" customFormat="1" ht="23.25" customHeight="1" x14ac:dyDescent="0.25">
      <c r="A99" s="32">
        <v>4227</v>
      </c>
      <c r="B99" s="37" t="s">
        <v>94</v>
      </c>
      <c r="C99" s="23">
        <v>38084.99</v>
      </c>
      <c r="D99" s="31"/>
      <c r="E99" s="105"/>
      <c r="F99" s="105">
        <f t="shared" si="13"/>
        <v>66912.5</v>
      </c>
      <c r="G99" s="23">
        <f>42411.95+24500.55</f>
        <v>66912.5</v>
      </c>
      <c r="H99" s="23"/>
      <c r="I99" s="65"/>
      <c r="J99" s="66"/>
      <c r="K99" s="66"/>
      <c r="L99" s="65"/>
      <c r="M99" s="65"/>
      <c r="N99" s="23">
        <f>+H99+I99+J99+K99+L99+M99</f>
        <v>0</v>
      </c>
      <c r="O99" s="31"/>
      <c r="P99" s="105"/>
      <c r="Q99" s="105"/>
      <c r="R99" s="105">
        <v>2168.9</v>
      </c>
      <c r="S99" s="23"/>
      <c r="T99" s="43">
        <f t="shared" si="23"/>
        <v>3.2413973472818984</v>
      </c>
    </row>
    <row r="100" spans="1:23" s="38" customFormat="1" ht="22.5" customHeight="1" x14ac:dyDescent="0.25">
      <c r="A100" s="29">
        <v>424</v>
      </c>
      <c r="B100" s="35" t="s">
        <v>109</v>
      </c>
      <c r="C100" s="21">
        <f>+C101</f>
        <v>18619.2</v>
      </c>
      <c r="D100" s="21">
        <v>17000</v>
      </c>
      <c r="E100" s="102">
        <v>17000</v>
      </c>
      <c r="F100" s="102">
        <f>+F101</f>
        <v>14714.43</v>
      </c>
      <c r="G100" s="21">
        <f t="shared" ref="G100:M100" si="32">+G101</f>
        <v>14714.43</v>
      </c>
      <c r="H100" s="21">
        <f t="shared" si="32"/>
        <v>0</v>
      </c>
      <c r="I100" s="21">
        <f t="shared" si="32"/>
        <v>0</v>
      </c>
      <c r="J100" s="21">
        <f t="shared" si="32"/>
        <v>0</v>
      </c>
      <c r="K100" s="21">
        <f t="shared" si="32"/>
        <v>0</v>
      </c>
      <c r="L100" s="21">
        <f t="shared" si="32"/>
        <v>0</v>
      </c>
      <c r="M100" s="21">
        <f t="shared" si="32"/>
        <v>0</v>
      </c>
      <c r="N100" s="23">
        <f t="shared" ref="N100:N103" si="33">+H100+I100+J100+K100+L100+M100</f>
        <v>0</v>
      </c>
      <c r="O100" s="21">
        <v>17000</v>
      </c>
      <c r="P100" s="102">
        <v>17000</v>
      </c>
      <c r="Q100" s="102">
        <v>16000</v>
      </c>
      <c r="R100" s="102">
        <f>+R101</f>
        <v>13462.26</v>
      </c>
      <c r="S100" s="21">
        <f>+R100/Q100*100</f>
        <v>84.139125000000007</v>
      </c>
      <c r="T100" s="43">
        <f t="shared" si="23"/>
        <v>91.490190241823839</v>
      </c>
    </row>
    <row r="101" spans="1:23" ht="15.75" customHeight="1" x14ac:dyDescent="0.25">
      <c r="A101" s="32">
        <v>4241</v>
      </c>
      <c r="B101" s="37" t="s">
        <v>110</v>
      </c>
      <c r="C101" s="23">
        <v>18619.2</v>
      </c>
      <c r="D101" s="31"/>
      <c r="E101" s="105"/>
      <c r="F101" s="105">
        <f>SUM(G101:N101)</f>
        <v>14714.43</v>
      </c>
      <c r="G101" s="23">
        <v>14714.43</v>
      </c>
      <c r="H101" s="23"/>
      <c r="I101" s="65"/>
      <c r="J101" s="66"/>
      <c r="K101" s="66"/>
      <c r="L101" s="65"/>
      <c r="M101" s="65"/>
      <c r="N101" s="23">
        <f t="shared" si="33"/>
        <v>0</v>
      </c>
      <c r="O101" s="31"/>
      <c r="P101" s="105"/>
      <c r="Q101" s="105"/>
      <c r="R101" s="105">
        <v>13462.26</v>
      </c>
      <c r="S101" s="23"/>
      <c r="T101" s="43">
        <f t="shared" si="23"/>
        <v>91.490190241823839</v>
      </c>
    </row>
    <row r="102" spans="1:23" s="38" customFormat="1" ht="22.5" customHeight="1" x14ac:dyDescent="0.25">
      <c r="A102" s="29">
        <v>426</v>
      </c>
      <c r="B102" s="35" t="s">
        <v>119</v>
      </c>
      <c r="C102" s="21"/>
      <c r="D102" s="21"/>
      <c r="E102" s="102"/>
      <c r="F102" s="102">
        <f>+G102+N102</f>
        <v>7800</v>
      </c>
      <c r="G102" s="21">
        <f t="shared" ref="G102:J102" si="34">+G103</f>
        <v>0</v>
      </c>
      <c r="H102" s="21">
        <f t="shared" si="34"/>
        <v>0</v>
      </c>
      <c r="I102" s="21">
        <f t="shared" si="34"/>
        <v>0</v>
      </c>
      <c r="J102" s="21">
        <f t="shared" si="34"/>
        <v>0</v>
      </c>
      <c r="K102" s="21">
        <f>+K103</f>
        <v>7800</v>
      </c>
      <c r="L102" s="21">
        <f t="shared" ref="L102:N102" si="35">+L103</f>
        <v>0</v>
      </c>
      <c r="M102" s="21">
        <f t="shared" si="35"/>
        <v>0</v>
      </c>
      <c r="N102" s="21">
        <f t="shared" si="35"/>
        <v>7800</v>
      </c>
      <c r="O102" s="21"/>
      <c r="P102" s="102"/>
      <c r="Q102" s="102"/>
      <c r="R102" s="102">
        <f>+R103</f>
        <v>0</v>
      </c>
      <c r="S102" s="21"/>
      <c r="T102" s="43">
        <f t="shared" si="23"/>
        <v>0</v>
      </c>
    </row>
    <row r="103" spans="1:23" ht="15.75" customHeight="1" x14ac:dyDescent="0.25">
      <c r="A103" s="32">
        <v>4262</v>
      </c>
      <c r="B103" s="37" t="s">
        <v>120</v>
      </c>
      <c r="C103" s="23"/>
      <c r="D103" s="31"/>
      <c r="E103" s="105"/>
      <c r="F103" s="105">
        <f>+G103+N103</f>
        <v>7800</v>
      </c>
      <c r="G103" s="23"/>
      <c r="H103" s="23"/>
      <c r="I103" s="65"/>
      <c r="J103" s="66"/>
      <c r="K103" s="66">
        <v>7800</v>
      </c>
      <c r="L103" s="65"/>
      <c r="M103" s="65"/>
      <c r="N103" s="23">
        <f t="shared" si="33"/>
        <v>7800</v>
      </c>
      <c r="O103" s="31"/>
      <c r="P103" s="105"/>
      <c r="Q103" s="105"/>
      <c r="R103" s="105">
        <v>0</v>
      </c>
      <c r="S103" s="23"/>
      <c r="T103" s="43">
        <f t="shared" si="23"/>
        <v>0</v>
      </c>
    </row>
    <row r="104" spans="1:23" s="14" customFormat="1" ht="21.75" customHeight="1" x14ac:dyDescent="0.2">
      <c r="A104" s="29">
        <v>45</v>
      </c>
      <c r="B104" s="36" t="s">
        <v>60</v>
      </c>
      <c r="C104" s="69">
        <f>+C105</f>
        <v>0</v>
      </c>
      <c r="D104" s="30"/>
      <c r="E104" s="109">
        <f>+E105</f>
        <v>655000</v>
      </c>
      <c r="F104" s="109">
        <f t="shared" si="13"/>
        <v>653380</v>
      </c>
      <c r="G104" s="69">
        <f>+G105</f>
        <v>653380</v>
      </c>
      <c r="H104" s="69"/>
      <c r="I104" s="19"/>
      <c r="J104" s="41"/>
      <c r="K104" s="41"/>
      <c r="L104" s="19"/>
      <c r="M104" s="19"/>
      <c r="N104" s="69">
        <f t="shared" si="15"/>
        <v>0</v>
      </c>
      <c r="O104" s="30"/>
      <c r="P104" s="109">
        <f>+P105</f>
        <v>0</v>
      </c>
      <c r="Q104" s="109">
        <f>+Q105</f>
        <v>0</v>
      </c>
      <c r="R104" s="109">
        <f>+R105</f>
        <v>0</v>
      </c>
      <c r="S104" s="69">
        <v>0</v>
      </c>
      <c r="T104" s="43">
        <f t="shared" si="23"/>
        <v>0</v>
      </c>
    </row>
    <row r="105" spans="1:23" ht="15.75" customHeight="1" x14ac:dyDescent="0.25">
      <c r="A105" s="32">
        <v>451</v>
      </c>
      <c r="B105" s="37" t="s">
        <v>61</v>
      </c>
      <c r="C105" s="23">
        <v>0</v>
      </c>
      <c r="D105" s="31">
        <v>0</v>
      </c>
      <c r="E105" s="105">
        <v>655000</v>
      </c>
      <c r="F105" s="105">
        <f t="shared" si="13"/>
        <v>653380</v>
      </c>
      <c r="G105" s="23">
        <v>653380</v>
      </c>
      <c r="H105" s="23"/>
      <c r="I105" s="65"/>
      <c r="J105" s="66"/>
      <c r="K105" s="66"/>
      <c r="L105" s="65"/>
      <c r="M105" s="65"/>
      <c r="N105" s="23">
        <f t="shared" si="15"/>
        <v>0</v>
      </c>
      <c r="O105" s="31">
        <v>0</v>
      </c>
      <c r="P105" s="105">
        <v>0</v>
      </c>
      <c r="Q105" s="105">
        <v>0</v>
      </c>
      <c r="R105" s="105">
        <v>0</v>
      </c>
      <c r="S105" s="23"/>
      <c r="T105" s="43">
        <f t="shared" si="23"/>
        <v>0</v>
      </c>
    </row>
    <row r="106" spans="1:23" ht="22.5" customHeight="1" x14ac:dyDescent="0.25">
      <c r="A106" s="51"/>
      <c r="B106" s="56" t="s">
        <v>62</v>
      </c>
      <c r="C106" s="104">
        <f>+C89+C43</f>
        <v>8178850.3900000006</v>
      </c>
      <c r="D106" s="104">
        <f>+D89+D43</f>
        <v>9053624</v>
      </c>
      <c r="E106" s="104">
        <f>+E89+E43</f>
        <v>10137249</v>
      </c>
      <c r="F106" s="104">
        <f t="shared" si="13"/>
        <v>10003056.26</v>
      </c>
      <c r="G106" s="67">
        <f t="shared" ref="G106:M106" si="36">+G89+G43</f>
        <v>9912220.6400000006</v>
      </c>
      <c r="H106" s="67">
        <f t="shared" si="36"/>
        <v>56309.93</v>
      </c>
      <c r="I106" s="67">
        <f t="shared" si="36"/>
        <v>4766</v>
      </c>
      <c r="J106" s="67">
        <f t="shared" si="36"/>
        <v>13547.16</v>
      </c>
      <c r="K106" s="67">
        <f t="shared" si="36"/>
        <v>16212.529999999999</v>
      </c>
      <c r="L106" s="67">
        <f t="shared" si="36"/>
        <v>0</v>
      </c>
      <c r="M106" s="67">
        <f t="shared" si="36"/>
        <v>0</v>
      </c>
      <c r="N106" s="67">
        <f t="shared" si="15"/>
        <v>90835.62</v>
      </c>
      <c r="O106" s="104">
        <f>+O89+O43</f>
        <v>9418064</v>
      </c>
      <c r="P106" s="104">
        <f>+P89+P43</f>
        <v>9471493</v>
      </c>
      <c r="Q106" s="104">
        <f>+Q89+Q43</f>
        <v>11877944</v>
      </c>
      <c r="R106" s="104">
        <f>+R89+R43</f>
        <v>11645500.929999998</v>
      </c>
      <c r="S106" s="67">
        <f>+R106/Q106*100</f>
        <v>98.043069827572836</v>
      </c>
      <c r="T106" s="43">
        <f t="shared" si="23"/>
        <v>116.41942849574653</v>
      </c>
      <c r="W106" s="96"/>
    </row>
    <row r="107" spans="1:23" ht="15.75" customHeight="1" x14ac:dyDescent="0.25">
      <c r="A107" s="51"/>
      <c r="B107" s="56" t="s">
        <v>105</v>
      </c>
      <c r="C107" s="104">
        <f t="shared" ref="C107:N107" si="37">+C38-C106</f>
        <v>-54190.310000000522</v>
      </c>
      <c r="D107" s="104">
        <f t="shared" si="37"/>
        <v>0</v>
      </c>
      <c r="E107" s="104">
        <f t="shared" si="37"/>
        <v>0</v>
      </c>
      <c r="F107" s="104">
        <f t="shared" si="37"/>
        <v>-103039.01999999955</v>
      </c>
      <c r="G107" s="67">
        <f t="shared" si="37"/>
        <v>-117345.94000000134</v>
      </c>
      <c r="H107" s="67">
        <f t="shared" si="37"/>
        <v>-7658.6100000000006</v>
      </c>
      <c r="I107" s="67">
        <f t="shared" si="37"/>
        <v>0</v>
      </c>
      <c r="J107" s="67">
        <f t="shared" si="37"/>
        <v>13299.649999999998</v>
      </c>
      <c r="K107" s="67">
        <f t="shared" si="37"/>
        <v>8665.880000000001</v>
      </c>
      <c r="L107" s="67">
        <f t="shared" si="37"/>
        <v>0</v>
      </c>
      <c r="M107" s="67">
        <f t="shared" si="37"/>
        <v>0</v>
      </c>
      <c r="N107" s="67">
        <f t="shared" si="37"/>
        <v>14306.919999999998</v>
      </c>
      <c r="O107" s="104">
        <f t="shared" ref="O107:R107" si="38">+O38-O106</f>
        <v>0</v>
      </c>
      <c r="P107" s="104">
        <f t="shared" ref="P107" si="39">+P38-P106</f>
        <v>0</v>
      </c>
      <c r="Q107" s="104">
        <f t="shared" si="38"/>
        <v>0</v>
      </c>
      <c r="R107" s="104">
        <f t="shared" si="38"/>
        <v>-30893.969999998808</v>
      </c>
      <c r="S107" s="67"/>
      <c r="T107" s="43">
        <f t="shared" si="23"/>
        <v>29.982787103370107</v>
      </c>
      <c r="V107" s="96"/>
    </row>
    <row r="108" spans="1:23" s="91" customFormat="1" ht="15.75" customHeight="1" x14ac:dyDescent="0.25">
      <c r="A108" s="89"/>
      <c r="B108" s="80"/>
      <c r="C108" s="86"/>
      <c r="D108" s="90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90"/>
      <c r="P108" s="86"/>
      <c r="Q108" s="86"/>
      <c r="R108" s="86"/>
      <c r="S108" s="86"/>
      <c r="T108" s="86"/>
      <c r="V108" s="217"/>
    </row>
    <row r="109" spans="1:23" x14ac:dyDescent="0.25">
      <c r="A109" s="2"/>
      <c r="B109" s="57" t="s">
        <v>63</v>
      </c>
      <c r="C109" s="71"/>
      <c r="F109" s="71"/>
      <c r="G109" s="71"/>
      <c r="H109" s="71"/>
      <c r="R109" s="71" t="s">
        <v>64</v>
      </c>
    </row>
    <row r="110" spans="1:23" x14ac:dyDescent="0.25">
      <c r="A110" s="2"/>
      <c r="B110" s="57" t="s">
        <v>65</v>
      </c>
      <c r="C110" s="71"/>
      <c r="F110" s="71"/>
      <c r="G110" s="93"/>
      <c r="H110" s="93"/>
      <c r="R110" s="71" t="s">
        <v>189</v>
      </c>
    </row>
    <row r="111" spans="1:23" x14ac:dyDescent="0.25">
      <c r="G111" s="70"/>
      <c r="H111" s="70"/>
    </row>
    <row r="113" spans="1:21" ht="42.75" customHeight="1" x14ac:dyDescent="0.25">
      <c r="A113" s="220" t="s">
        <v>106</v>
      </c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96"/>
    </row>
    <row r="115" spans="1:21" x14ac:dyDescent="0.25">
      <c r="D115" s="34"/>
      <c r="O115" s="34"/>
    </row>
    <row r="118" spans="1:21" ht="27" customHeight="1" x14ac:dyDescent="0.25">
      <c r="A118" s="221"/>
      <c r="B118" s="221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P118"/>
      <c r="Q118"/>
      <c r="R118"/>
      <c r="S118"/>
      <c r="T118"/>
    </row>
    <row r="119" spans="1:21" ht="45" customHeight="1" x14ac:dyDescent="0.25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P119"/>
      <c r="Q119"/>
      <c r="R119"/>
      <c r="S119"/>
      <c r="T119"/>
    </row>
  </sheetData>
  <mergeCells count="4">
    <mergeCell ref="A6:B6"/>
    <mergeCell ref="A119:N119"/>
    <mergeCell ref="A118:N118"/>
    <mergeCell ref="A113:T1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T442"/>
  <sheetViews>
    <sheetView workbookViewId="0">
      <pane ySplit="156" topLeftCell="A238" activePane="bottomLeft" state="frozen"/>
      <selection pane="bottomLeft" activeCell="M255" sqref="M255"/>
    </sheetView>
  </sheetViews>
  <sheetFormatPr defaultRowHeight="15" x14ac:dyDescent="0.25"/>
  <cols>
    <col min="2" max="2" width="55.5703125" customWidth="1"/>
    <col min="3" max="5" width="14.5703125" customWidth="1"/>
    <col min="6" max="6" width="11.85546875" hidden="1" customWidth="1"/>
    <col min="7" max="7" width="12.140625" hidden="1" customWidth="1"/>
    <col min="8" max="10" width="9.140625" hidden="1" customWidth="1"/>
    <col min="11" max="11" width="11.140625" hidden="1" customWidth="1"/>
    <col min="12" max="12" width="11.7109375" hidden="1" customWidth="1"/>
    <col min="13" max="13" width="14.5703125" customWidth="1"/>
    <col min="14" max="14" width="14.28515625" customWidth="1"/>
    <col min="16" max="16" width="12.7109375" bestFit="1" customWidth="1"/>
    <col min="17" max="17" width="10.140625" bestFit="1" customWidth="1"/>
    <col min="18" max="18" width="11.7109375" bestFit="1" customWidth="1"/>
  </cols>
  <sheetData>
    <row r="1" spans="1:14" ht="18" x14ac:dyDescent="0.25">
      <c r="A1" s="156" t="s">
        <v>201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ht="18" x14ac:dyDescent="0.25">
      <c r="A2" s="156" t="s">
        <v>169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02" hidden="1" x14ac:dyDescent="0.25">
      <c r="A3" s="120" t="s">
        <v>123</v>
      </c>
      <c r="B3" s="121" t="s">
        <v>124</v>
      </c>
      <c r="C3" s="120" t="s">
        <v>125</v>
      </c>
      <c r="D3" s="120" t="s">
        <v>125</v>
      </c>
      <c r="E3" s="120" t="s">
        <v>125</v>
      </c>
      <c r="F3" s="120" t="s">
        <v>126</v>
      </c>
      <c r="G3" s="120" t="s">
        <v>127</v>
      </c>
      <c r="H3" s="120" t="s">
        <v>26</v>
      </c>
      <c r="I3" s="120" t="s">
        <v>128</v>
      </c>
      <c r="J3" s="120" t="s">
        <v>103</v>
      </c>
      <c r="K3" s="120" t="s">
        <v>129</v>
      </c>
      <c r="L3" s="120" t="s">
        <v>130</v>
      </c>
      <c r="M3" s="120" t="s">
        <v>125</v>
      </c>
      <c r="N3" s="120" t="s">
        <v>126</v>
      </c>
    </row>
    <row r="4" spans="1:14" hidden="1" x14ac:dyDescent="0.25">
      <c r="A4" s="222" t="s">
        <v>104</v>
      </c>
      <c r="B4" s="223"/>
      <c r="C4" s="122">
        <f>+C5+C27+C91+C114</f>
        <v>18107248</v>
      </c>
      <c r="D4" s="122">
        <f>+D5+D27+D91+D114</f>
        <v>18107248</v>
      </c>
      <c r="E4" s="122">
        <f>+E5+E27+E91+E114</f>
        <v>9053624</v>
      </c>
      <c r="F4" s="122">
        <f t="shared" ref="F4:L4" si="0">+F5+F27+F91+F114</f>
        <v>8680360</v>
      </c>
      <c r="G4" s="122">
        <f t="shared" si="0"/>
        <v>16000</v>
      </c>
      <c r="H4" s="122">
        <f t="shared" si="0"/>
        <v>26000</v>
      </c>
      <c r="I4" s="122">
        <f t="shared" si="0"/>
        <v>90000</v>
      </c>
      <c r="J4" s="122">
        <f t="shared" si="0"/>
        <v>20000</v>
      </c>
      <c r="K4" s="122">
        <f t="shared" si="0"/>
        <v>0</v>
      </c>
      <c r="L4" s="122">
        <f t="shared" si="0"/>
        <v>0</v>
      </c>
      <c r="M4" s="122">
        <f>+M5+M27+M91+M114</f>
        <v>8901624</v>
      </c>
      <c r="N4" s="122">
        <f t="shared" ref="N4" si="1">+N5+N27+N91+N114</f>
        <v>8680360</v>
      </c>
    </row>
    <row r="5" spans="1:14" hidden="1" x14ac:dyDescent="0.25">
      <c r="A5" s="123" t="s">
        <v>131</v>
      </c>
      <c r="B5" s="123" t="s">
        <v>132</v>
      </c>
      <c r="C5" s="124">
        <f>+C6</f>
        <v>442528</v>
      </c>
      <c r="D5" s="124">
        <f>+D6</f>
        <v>442528</v>
      </c>
      <c r="E5" s="124">
        <f>+E6</f>
        <v>221264</v>
      </c>
      <c r="F5" s="124"/>
      <c r="G5" s="124"/>
      <c r="H5" s="124"/>
      <c r="I5" s="124"/>
      <c r="J5" s="124"/>
      <c r="K5" s="124"/>
      <c r="L5" s="124"/>
      <c r="M5" s="124">
        <f>+M6</f>
        <v>221264</v>
      </c>
      <c r="N5" s="124"/>
    </row>
    <row r="6" spans="1:14" hidden="1" x14ac:dyDescent="0.25">
      <c r="A6" s="125" t="s">
        <v>133</v>
      </c>
      <c r="B6" s="126" t="s">
        <v>134</v>
      </c>
      <c r="C6" s="127">
        <f>+C7+C21</f>
        <v>442528</v>
      </c>
      <c r="D6" s="127">
        <f>+D7+D21</f>
        <v>442528</v>
      </c>
      <c r="E6" s="127">
        <f>+E7+E21</f>
        <v>221264</v>
      </c>
      <c r="F6" s="127"/>
      <c r="G6" s="127"/>
      <c r="H6" s="127"/>
      <c r="I6" s="127"/>
      <c r="J6" s="127"/>
      <c r="K6" s="127"/>
      <c r="L6" s="127"/>
      <c r="M6" s="127">
        <f>+M7+M21</f>
        <v>221264</v>
      </c>
      <c r="N6" s="127"/>
    </row>
    <row r="7" spans="1:14" hidden="1" x14ac:dyDescent="0.25">
      <c r="A7" s="128">
        <v>3</v>
      </c>
      <c r="B7" s="129" t="s">
        <v>41</v>
      </c>
      <c r="C7" s="130">
        <f>+C8+C12+C17+C19</f>
        <v>442528</v>
      </c>
      <c r="D7" s="130">
        <f>+D8+D12+D17+D19</f>
        <v>442528</v>
      </c>
      <c r="E7" s="130">
        <f>+E8+E12+E17+E19</f>
        <v>221264</v>
      </c>
      <c r="F7" s="130">
        <f>+F8+F12+F17+F19</f>
        <v>221264</v>
      </c>
      <c r="G7" s="130">
        <f t="shared" ref="G7:L7" si="2">+G8+G12+G17+G19</f>
        <v>0</v>
      </c>
      <c r="H7" s="130">
        <f t="shared" si="2"/>
        <v>0</v>
      </c>
      <c r="I7" s="130">
        <f t="shared" si="2"/>
        <v>0</v>
      </c>
      <c r="J7" s="130">
        <f t="shared" si="2"/>
        <v>0</v>
      </c>
      <c r="K7" s="130">
        <f t="shared" si="2"/>
        <v>0</v>
      </c>
      <c r="L7" s="130">
        <f t="shared" si="2"/>
        <v>0</v>
      </c>
      <c r="M7" s="130">
        <f>+M8+M12+M17+M19</f>
        <v>221264</v>
      </c>
      <c r="N7" s="130">
        <f>+N8+N12+N17+N19</f>
        <v>221264</v>
      </c>
    </row>
    <row r="8" spans="1:14" hidden="1" x14ac:dyDescent="0.25">
      <c r="A8" s="128">
        <v>31</v>
      </c>
      <c r="B8" s="129" t="s">
        <v>42</v>
      </c>
      <c r="C8" s="130">
        <f>SUM(C9:C11)</f>
        <v>0</v>
      </c>
      <c r="D8" s="130">
        <f>SUM(D9:D11)</f>
        <v>0</v>
      </c>
      <c r="E8" s="130">
        <f>SUM(E9:E11)</f>
        <v>0</v>
      </c>
      <c r="F8" s="130">
        <f t="shared" ref="F8:L8" si="3">SUM(F9:F11)</f>
        <v>0</v>
      </c>
      <c r="G8" s="130">
        <f t="shared" si="3"/>
        <v>0</v>
      </c>
      <c r="H8" s="130">
        <f t="shared" si="3"/>
        <v>0</v>
      </c>
      <c r="I8" s="130">
        <f t="shared" si="3"/>
        <v>0</v>
      </c>
      <c r="J8" s="130">
        <f t="shared" si="3"/>
        <v>0</v>
      </c>
      <c r="K8" s="130">
        <f t="shared" si="3"/>
        <v>0</v>
      </c>
      <c r="L8" s="130">
        <f t="shared" si="3"/>
        <v>0</v>
      </c>
      <c r="M8" s="130">
        <f>SUM(M9:M11)</f>
        <v>0</v>
      </c>
      <c r="N8" s="130">
        <f t="shared" ref="N8" si="4">SUM(N9:N11)</f>
        <v>0</v>
      </c>
    </row>
    <row r="9" spans="1:14" hidden="1" x14ac:dyDescent="0.25">
      <c r="A9" s="131">
        <v>311</v>
      </c>
      <c r="B9" s="132" t="s">
        <v>135</v>
      </c>
      <c r="C9" s="133">
        <f t="shared" ref="C9:C21" si="5">SUM(E9:K9)</f>
        <v>0</v>
      </c>
      <c r="D9" s="133">
        <f t="shared" ref="D9:E12" si="6">SUM(E9:K9)</f>
        <v>0</v>
      </c>
      <c r="E9" s="133">
        <f t="shared" si="6"/>
        <v>0</v>
      </c>
      <c r="F9" s="133"/>
      <c r="G9" s="133"/>
      <c r="H9" s="133"/>
      <c r="I9" s="133"/>
      <c r="J9" s="133"/>
      <c r="K9" s="133"/>
      <c r="L9" s="133"/>
      <c r="M9" s="133">
        <f t="shared" ref="M9:M21" si="7">SUM(N9:N9)</f>
        <v>0</v>
      </c>
      <c r="N9" s="133"/>
    </row>
    <row r="10" spans="1:14" hidden="1" x14ac:dyDescent="0.25">
      <c r="A10" s="131">
        <v>312</v>
      </c>
      <c r="B10" s="132" t="s">
        <v>44</v>
      </c>
      <c r="C10" s="133">
        <f t="shared" si="5"/>
        <v>0</v>
      </c>
      <c r="D10" s="133">
        <f t="shared" si="6"/>
        <v>0</v>
      </c>
      <c r="E10" s="133">
        <f t="shared" si="6"/>
        <v>0</v>
      </c>
      <c r="F10" s="133"/>
      <c r="G10" s="133"/>
      <c r="H10" s="133"/>
      <c r="I10" s="133"/>
      <c r="J10" s="133"/>
      <c r="K10" s="133"/>
      <c r="L10" s="133"/>
      <c r="M10" s="133">
        <f t="shared" si="7"/>
        <v>0</v>
      </c>
      <c r="N10" s="133"/>
    </row>
    <row r="11" spans="1:14" hidden="1" x14ac:dyDescent="0.25">
      <c r="A11" s="131">
        <v>313</v>
      </c>
      <c r="B11" s="132" t="s">
        <v>45</v>
      </c>
      <c r="C11" s="133">
        <f t="shared" si="5"/>
        <v>0</v>
      </c>
      <c r="D11" s="133">
        <f t="shared" si="6"/>
        <v>0</v>
      </c>
      <c r="E11" s="133">
        <f t="shared" si="6"/>
        <v>0</v>
      </c>
      <c r="F11" s="133"/>
      <c r="G11" s="133"/>
      <c r="H11" s="133"/>
      <c r="I11" s="133"/>
      <c r="J11" s="133"/>
      <c r="K11" s="133"/>
      <c r="L11" s="133"/>
      <c r="M11" s="133">
        <f t="shared" si="7"/>
        <v>0</v>
      </c>
      <c r="N11" s="133"/>
    </row>
    <row r="12" spans="1:14" hidden="1" x14ac:dyDescent="0.25">
      <c r="A12" s="128">
        <v>32</v>
      </c>
      <c r="B12" s="129" t="s">
        <v>46</v>
      </c>
      <c r="C12" s="130">
        <f t="shared" si="5"/>
        <v>434528</v>
      </c>
      <c r="D12" s="130">
        <f t="shared" si="6"/>
        <v>434528</v>
      </c>
      <c r="E12" s="130">
        <f t="shared" si="6"/>
        <v>217264</v>
      </c>
      <c r="F12" s="130">
        <f>SUM(F13:F16)</f>
        <v>217264</v>
      </c>
      <c r="G12" s="130">
        <f t="shared" ref="G12:L12" si="8">SUM(G13:G16)</f>
        <v>0</v>
      </c>
      <c r="H12" s="130">
        <f t="shared" si="8"/>
        <v>0</v>
      </c>
      <c r="I12" s="130">
        <f t="shared" si="8"/>
        <v>0</v>
      </c>
      <c r="J12" s="130">
        <f t="shared" si="8"/>
        <v>0</v>
      </c>
      <c r="K12" s="130">
        <f t="shared" si="8"/>
        <v>0</v>
      </c>
      <c r="L12" s="130">
        <f t="shared" si="8"/>
        <v>0</v>
      </c>
      <c r="M12" s="130">
        <f t="shared" si="7"/>
        <v>217264</v>
      </c>
      <c r="N12" s="130">
        <f>SUM(N13:N16)</f>
        <v>217264</v>
      </c>
    </row>
    <row r="13" spans="1:14" hidden="1" x14ac:dyDescent="0.25">
      <c r="A13" s="131">
        <v>321</v>
      </c>
      <c r="B13" s="132" t="s">
        <v>47</v>
      </c>
      <c r="C13" s="133">
        <f t="shared" si="5"/>
        <v>4200</v>
      </c>
      <c r="D13" s="133">
        <f t="shared" ref="D13:E20" si="9">SUM(E13:K13)</f>
        <v>4200</v>
      </c>
      <c r="E13" s="133">
        <f t="shared" si="9"/>
        <v>2100</v>
      </c>
      <c r="F13" s="133">
        <v>2100</v>
      </c>
      <c r="G13" s="133"/>
      <c r="H13" s="133"/>
      <c r="I13" s="133"/>
      <c r="J13" s="133"/>
      <c r="K13" s="133"/>
      <c r="L13" s="133"/>
      <c r="M13" s="133">
        <f t="shared" si="7"/>
        <v>2100</v>
      </c>
      <c r="N13" s="133">
        <v>2100</v>
      </c>
    </row>
    <row r="14" spans="1:14" hidden="1" x14ac:dyDescent="0.25">
      <c r="A14" s="131">
        <v>322</v>
      </c>
      <c r="B14" s="132" t="s">
        <v>48</v>
      </c>
      <c r="C14" s="133">
        <f t="shared" si="5"/>
        <v>256528</v>
      </c>
      <c r="D14" s="133">
        <f t="shared" si="9"/>
        <v>256528</v>
      </c>
      <c r="E14" s="133">
        <f t="shared" si="9"/>
        <v>128264</v>
      </c>
      <c r="F14" s="133">
        <v>128264</v>
      </c>
      <c r="G14" s="133"/>
      <c r="H14" s="133"/>
      <c r="I14" s="133"/>
      <c r="J14" s="133"/>
      <c r="K14" s="133"/>
      <c r="L14" s="133"/>
      <c r="M14" s="133">
        <f t="shared" si="7"/>
        <v>128264</v>
      </c>
      <c r="N14" s="133">
        <v>128264</v>
      </c>
    </row>
    <row r="15" spans="1:14" hidden="1" x14ac:dyDescent="0.25">
      <c r="A15" s="131">
        <v>323</v>
      </c>
      <c r="B15" s="132" t="s">
        <v>49</v>
      </c>
      <c r="C15" s="133">
        <f t="shared" si="5"/>
        <v>130800</v>
      </c>
      <c r="D15" s="133">
        <f t="shared" si="9"/>
        <v>130800</v>
      </c>
      <c r="E15" s="133">
        <f t="shared" si="9"/>
        <v>65400</v>
      </c>
      <c r="F15" s="133">
        <v>65400</v>
      </c>
      <c r="G15" s="133"/>
      <c r="H15" s="133"/>
      <c r="I15" s="133"/>
      <c r="J15" s="133"/>
      <c r="K15" s="133"/>
      <c r="L15" s="133"/>
      <c r="M15" s="133">
        <f t="shared" si="7"/>
        <v>65400</v>
      </c>
      <c r="N15" s="133">
        <v>65400</v>
      </c>
    </row>
    <row r="16" spans="1:14" hidden="1" x14ac:dyDescent="0.25">
      <c r="A16" s="131">
        <v>329</v>
      </c>
      <c r="B16" s="132" t="s">
        <v>50</v>
      </c>
      <c r="C16" s="133">
        <f t="shared" si="5"/>
        <v>43000</v>
      </c>
      <c r="D16" s="133">
        <f t="shared" si="9"/>
        <v>43000</v>
      </c>
      <c r="E16" s="133">
        <f t="shared" si="9"/>
        <v>21500</v>
      </c>
      <c r="F16" s="133">
        <v>21500</v>
      </c>
      <c r="G16" s="133"/>
      <c r="H16" s="133"/>
      <c r="I16" s="133"/>
      <c r="J16" s="133"/>
      <c r="K16" s="133"/>
      <c r="L16" s="133"/>
      <c r="M16" s="133">
        <f t="shared" si="7"/>
        <v>21500</v>
      </c>
      <c r="N16" s="133">
        <v>21500</v>
      </c>
    </row>
    <row r="17" spans="1:14" hidden="1" x14ac:dyDescent="0.25">
      <c r="A17" s="128">
        <v>34</v>
      </c>
      <c r="B17" s="129" t="s">
        <v>136</v>
      </c>
      <c r="C17" s="130">
        <f t="shared" si="5"/>
        <v>8000</v>
      </c>
      <c r="D17" s="130">
        <f t="shared" si="9"/>
        <v>8000</v>
      </c>
      <c r="E17" s="130">
        <f t="shared" si="9"/>
        <v>4000</v>
      </c>
      <c r="F17" s="130">
        <f t="shared" ref="F17:N17" si="10">+F18</f>
        <v>4000</v>
      </c>
      <c r="G17" s="130">
        <f t="shared" si="10"/>
        <v>0</v>
      </c>
      <c r="H17" s="130">
        <f t="shared" si="10"/>
        <v>0</v>
      </c>
      <c r="I17" s="130">
        <f t="shared" si="10"/>
        <v>0</v>
      </c>
      <c r="J17" s="130">
        <f t="shared" si="10"/>
        <v>0</v>
      </c>
      <c r="K17" s="130">
        <f t="shared" si="10"/>
        <v>0</v>
      </c>
      <c r="L17" s="130">
        <f t="shared" si="10"/>
        <v>0</v>
      </c>
      <c r="M17" s="130">
        <f t="shared" si="7"/>
        <v>4000</v>
      </c>
      <c r="N17" s="130">
        <f t="shared" si="10"/>
        <v>4000</v>
      </c>
    </row>
    <row r="18" spans="1:14" hidden="1" x14ac:dyDescent="0.25">
      <c r="A18" s="131">
        <v>343</v>
      </c>
      <c r="B18" s="132" t="s">
        <v>52</v>
      </c>
      <c r="C18" s="133">
        <f t="shared" si="5"/>
        <v>8000</v>
      </c>
      <c r="D18" s="133">
        <f t="shared" si="9"/>
        <v>8000</v>
      </c>
      <c r="E18" s="133">
        <f t="shared" si="9"/>
        <v>4000</v>
      </c>
      <c r="F18" s="133">
        <v>4000</v>
      </c>
      <c r="G18" s="133"/>
      <c r="H18" s="133"/>
      <c r="I18" s="133"/>
      <c r="J18" s="133"/>
      <c r="K18" s="133"/>
      <c r="L18" s="133"/>
      <c r="M18" s="133">
        <f t="shared" si="7"/>
        <v>4000</v>
      </c>
      <c r="N18" s="133">
        <v>4000</v>
      </c>
    </row>
    <row r="19" spans="1:14" ht="26.25" hidden="1" x14ac:dyDescent="0.25">
      <c r="A19" s="128">
        <v>37</v>
      </c>
      <c r="B19" s="129" t="s">
        <v>137</v>
      </c>
      <c r="C19" s="130">
        <f t="shared" si="5"/>
        <v>0</v>
      </c>
      <c r="D19" s="130">
        <f t="shared" si="9"/>
        <v>0</v>
      </c>
      <c r="E19" s="130">
        <f t="shared" si="9"/>
        <v>0</v>
      </c>
      <c r="F19" s="130">
        <f t="shared" ref="F19:N19" si="11">+F20</f>
        <v>0</v>
      </c>
      <c r="G19" s="130">
        <f t="shared" si="11"/>
        <v>0</v>
      </c>
      <c r="H19" s="130">
        <f t="shared" si="11"/>
        <v>0</v>
      </c>
      <c r="I19" s="130">
        <f t="shared" si="11"/>
        <v>0</v>
      </c>
      <c r="J19" s="130">
        <f t="shared" si="11"/>
        <v>0</v>
      </c>
      <c r="K19" s="130">
        <f t="shared" si="11"/>
        <v>0</v>
      </c>
      <c r="L19" s="130">
        <f t="shared" si="11"/>
        <v>0</v>
      </c>
      <c r="M19" s="130">
        <f t="shared" si="7"/>
        <v>0</v>
      </c>
      <c r="N19" s="130">
        <f t="shared" si="11"/>
        <v>0</v>
      </c>
    </row>
    <row r="20" spans="1:14" hidden="1" x14ac:dyDescent="0.25">
      <c r="A20" s="131">
        <v>372</v>
      </c>
      <c r="B20" s="132" t="s">
        <v>54</v>
      </c>
      <c r="C20" s="133">
        <f t="shared" si="5"/>
        <v>0</v>
      </c>
      <c r="D20" s="133">
        <f t="shared" si="9"/>
        <v>0</v>
      </c>
      <c r="E20" s="133">
        <f t="shared" si="9"/>
        <v>0</v>
      </c>
      <c r="F20" s="133"/>
      <c r="G20" s="133"/>
      <c r="H20" s="133"/>
      <c r="I20" s="133"/>
      <c r="J20" s="133"/>
      <c r="K20" s="133"/>
      <c r="L20" s="133"/>
      <c r="M20" s="133">
        <f t="shared" si="7"/>
        <v>0</v>
      </c>
      <c r="N20" s="133"/>
    </row>
    <row r="21" spans="1:14" hidden="1" x14ac:dyDescent="0.25">
      <c r="A21" s="128">
        <v>4</v>
      </c>
      <c r="B21" s="129" t="s">
        <v>138</v>
      </c>
      <c r="C21" s="130">
        <f t="shared" si="5"/>
        <v>0</v>
      </c>
      <c r="D21" s="130">
        <f>SUM(E21:K21)</f>
        <v>0</v>
      </c>
      <c r="E21" s="130">
        <f>SUM(F21:L21)</f>
        <v>0</v>
      </c>
      <c r="F21" s="130">
        <f>+F24+F22</f>
        <v>0</v>
      </c>
      <c r="G21" s="130">
        <f t="shared" ref="G21:L21" si="12">+G24+G22</f>
        <v>0</v>
      </c>
      <c r="H21" s="130">
        <f t="shared" si="12"/>
        <v>0</v>
      </c>
      <c r="I21" s="130">
        <f t="shared" si="12"/>
        <v>0</v>
      </c>
      <c r="J21" s="130">
        <f t="shared" si="12"/>
        <v>0</v>
      </c>
      <c r="K21" s="130">
        <f t="shared" si="12"/>
        <v>0</v>
      </c>
      <c r="L21" s="130">
        <f t="shared" si="12"/>
        <v>0</v>
      </c>
      <c r="M21" s="130">
        <f t="shared" si="7"/>
        <v>0</v>
      </c>
      <c r="N21" s="130">
        <f>+N24+N22</f>
        <v>0</v>
      </c>
    </row>
    <row r="22" spans="1:14" hidden="1" x14ac:dyDescent="0.25">
      <c r="A22" s="128">
        <v>41</v>
      </c>
      <c r="B22" s="129" t="s">
        <v>139</v>
      </c>
      <c r="C22" s="130">
        <f>+C23</f>
        <v>0</v>
      </c>
      <c r="D22" s="130">
        <f>+D23</f>
        <v>0</v>
      </c>
      <c r="E22" s="130">
        <f>+E23</f>
        <v>0</v>
      </c>
      <c r="F22" s="130">
        <f t="shared" ref="F22:N22" si="13">+F23</f>
        <v>0</v>
      </c>
      <c r="G22" s="130">
        <f t="shared" si="13"/>
        <v>0</v>
      </c>
      <c r="H22" s="130">
        <f t="shared" si="13"/>
        <v>0</v>
      </c>
      <c r="I22" s="130">
        <f t="shared" si="13"/>
        <v>0</v>
      </c>
      <c r="J22" s="130">
        <f t="shared" si="13"/>
        <v>0</v>
      </c>
      <c r="K22" s="130">
        <f t="shared" si="13"/>
        <v>0</v>
      </c>
      <c r="L22" s="130">
        <f t="shared" si="13"/>
        <v>0</v>
      </c>
      <c r="M22" s="130">
        <f>+M23</f>
        <v>0</v>
      </c>
      <c r="N22" s="130">
        <f t="shared" si="13"/>
        <v>0</v>
      </c>
    </row>
    <row r="23" spans="1:14" hidden="1" x14ac:dyDescent="0.25">
      <c r="A23" s="131">
        <v>412</v>
      </c>
      <c r="B23" s="132" t="s">
        <v>57</v>
      </c>
      <c r="C23" s="133">
        <f>SUM(E23:K23)</f>
        <v>0</v>
      </c>
      <c r="D23" s="133">
        <f t="shared" ref="D23:E26" si="14">SUM(E23:K23)</f>
        <v>0</v>
      </c>
      <c r="E23" s="133">
        <f t="shared" si="14"/>
        <v>0</v>
      </c>
      <c r="F23" s="133"/>
      <c r="G23" s="133"/>
      <c r="H23" s="133"/>
      <c r="I23" s="133"/>
      <c r="J23" s="133"/>
      <c r="K23" s="133"/>
      <c r="L23" s="133"/>
      <c r="M23" s="133">
        <f>SUM(N23:N23)</f>
        <v>0</v>
      </c>
      <c r="N23" s="133"/>
    </row>
    <row r="24" spans="1:14" hidden="1" x14ac:dyDescent="0.25">
      <c r="A24" s="128">
        <v>42</v>
      </c>
      <c r="B24" s="129" t="s">
        <v>140</v>
      </c>
      <c r="C24" s="130">
        <f>SUM(E24:K24)</f>
        <v>0</v>
      </c>
      <c r="D24" s="130">
        <f t="shared" si="14"/>
        <v>0</v>
      </c>
      <c r="E24" s="130">
        <f t="shared" si="14"/>
        <v>0</v>
      </c>
      <c r="F24" s="130">
        <f t="shared" ref="F24:L24" si="15">+F25+F26</f>
        <v>0</v>
      </c>
      <c r="G24" s="130">
        <f t="shared" si="15"/>
        <v>0</v>
      </c>
      <c r="H24" s="130">
        <f t="shared" si="15"/>
        <v>0</v>
      </c>
      <c r="I24" s="130">
        <f t="shared" si="15"/>
        <v>0</v>
      </c>
      <c r="J24" s="130">
        <f t="shared" si="15"/>
        <v>0</v>
      </c>
      <c r="K24" s="130">
        <f t="shared" si="15"/>
        <v>0</v>
      </c>
      <c r="L24" s="130">
        <f t="shared" si="15"/>
        <v>0</v>
      </c>
      <c r="M24" s="130">
        <f>SUM(N24:N24)</f>
        <v>0</v>
      </c>
      <c r="N24" s="130">
        <f t="shared" ref="N24" si="16">+N25+N26</f>
        <v>0</v>
      </c>
    </row>
    <row r="25" spans="1:14" hidden="1" x14ac:dyDescent="0.25">
      <c r="A25" s="131">
        <v>422</v>
      </c>
      <c r="B25" s="132" t="s">
        <v>59</v>
      </c>
      <c r="C25" s="133">
        <f>SUM(E25:K25)</f>
        <v>0</v>
      </c>
      <c r="D25" s="133">
        <f t="shared" si="14"/>
        <v>0</v>
      </c>
      <c r="E25" s="133">
        <f t="shared" si="14"/>
        <v>0</v>
      </c>
      <c r="F25" s="133"/>
      <c r="G25" s="133"/>
      <c r="H25" s="133"/>
      <c r="I25" s="133"/>
      <c r="J25" s="133"/>
      <c r="K25" s="133"/>
      <c r="L25" s="133"/>
      <c r="M25" s="133">
        <f>SUM(N25:N25)</f>
        <v>0</v>
      </c>
      <c r="N25" s="133"/>
    </row>
    <row r="26" spans="1:14" hidden="1" x14ac:dyDescent="0.25">
      <c r="A26" s="131">
        <v>424</v>
      </c>
      <c r="B26" s="132" t="s">
        <v>141</v>
      </c>
      <c r="C26" s="133">
        <f>SUM(E26:K26)</f>
        <v>0</v>
      </c>
      <c r="D26" s="133">
        <f t="shared" si="14"/>
        <v>0</v>
      </c>
      <c r="E26" s="133">
        <f t="shared" si="14"/>
        <v>0</v>
      </c>
      <c r="F26" s="133"/>
      <c r="G26" s="133"/>
      <c r="H26" s="133"/>
      <c r="I26" s="133"/>
      <c r="J26" s="133"/>
      <c r="K26" s="133"/>
      <c r="L26" s="133"/>
      <c r="M26" s="133">
        <f>SUM(N26:N26)</f>
        <v>0</v>
      </c>
      <c r="N26" s="133"/>
    </row>
    <row r="27" spans="1:14" ht="26.25" hidden="1" x14ac:dyDescent="0.25">
      <c r="A27" s="123" t="s">
        <v>142</v>
      </c>
      <c r="B27" s="123" t="s">
        <v>143</v>
      </c>
      <c r="C27" s="124">
        <f>+C28+C49+C70</f>
        <v>1571520</v>
      </c>
      <c r="D27" s="124">
        <f>+D28+D49+D70</f>
        <v>1571520</v>
      </c>
      <c r="E27" s="124">
        <f>+E28+E49+E70</f>
        <v>785760</v>
      </c>
      <c r="F27" s="124">
        <f t="shared" ref="F27:L27" si="17">+F28+F49+F70</f>
        <v>633760</v>
      </c>
      <c r="G27" s="124">
        <f t="shared" si="17"/>
        <v>16000</v>
      </c>
      <c r="H27" s="124">
        <f t="shared" si="17"/>
        <v>26000</v>
      </c>
      <c r="I27" s="124">
        <f t="shared" si="17"/>
        <v>90000</v>
      </c>
      <c r="J27" s="124">
        <f t="shared" si="17"/>
        <v>20000</v>
      </c>
      <c r="K27" s="124">
        <f t="shared" si="17"/>
        <v>0</v>
      </c>
      <c r="L27" s="124">
        <f t="shared" si="17"/>
        <v>0</v>
      </c>
      <c r="M27" s="124">
        <f>+M28+M49+M70</f>
        <v>633760</v>
      </c>
      <c r="N27" s="124">
        <f t="shared" ref="N27" si="18">+N28+N49+N70</f>
        <v>633760</v>
      </c>
    </row>
    <row r="28" spans="1:14" hidden="1" x14ac:dyDescent="0.25">
      <c r="A28" s="125" t="s">
        <v>144</v>
      </c>
      <c r="B28" s="126" t="s">
        <v>145</v>
      </c>
      <c r="C28" s="127">
        <f>+C29+C43</f>
        <v>1391520</v>
      </c>
      <c r="D28" s="127">
        <f>+D29+D43</f>
        <v>1391520</v>
      </c>
      <c r="E28" s="127">
        <f>+E29+E43</f>
        <v>695760</v>
      </c>
      <c r="F28" s="127">
        <f t="shared" ref="F28:L28" si="19">+F29+F43</f>
        <v>543760</v>
      </c>
      <c r="G28" s="127">
        <f t="shared" si="19"/>
        <v>16000</v>
      </c>
      <c r="H28" s="127">
        <f t="shared" si="19"/>
        <v>26000</v>
      </c>
      <c r="I28" s="127">
        <f t="shared" si="19"/>
        <v>90000</v>
      </c>
      <c r="J28" s="127">
        <f t="shared" si="19"/>
        <v>20000</v>
      </c>
      <c r="K28" s="127">
        <f t="shared" si="19"/>
        <v>0</v>
      </c>
      <c r="L28" s="127">
        <f t="shared" si="19"/>
        <v>0</v>
      </c>
      <c r="M28" s="127">
        <f>+M29+M43</f>
        <v>543760</v>
      </c>
      <c r="N28" s="127">
        <f t="shared" ref="N28" si="20">+N29+N43</f>
        <v>543760</v>
      </c>
    </row>
    <row r="29" spans="1:14" hidden="1" x14ac:dyDescent="0.25">
      <c r="A29" s="128">
        <v>3</v>
      </c>
      <c r="B29" s="129" t="s">
        <v>41</v>
      </c>
      <c r="C29" s="130">
        <f>+C30+C34+C39+C41</f>
        <v>1359520</v>
      </c>
      <c r="D29" s="130">
        <f>+D30+D34+D39+D41</f>
        <v>1359520</v>
      </c>
      <c r="E29" s="130">
        <f>+E30+E34+E39+E41</f>
        <v>679760</v>
      </c>
      <c r="F29" s="130">
        <f>+F30+F34+F39+F41</f>
        <v>543760</v>
      </c>
      <c r="G29" s="130">
        <f t="shared" ref="G29:L29" si="21">+G30+G34+G39+G41</f>
        <v>10000</v>
      </c>
      <c r="H29" s="130">
        <f t="shared" si="21"/>
        <v>26000</v>
      </c>
      <c r="I29" s="130">
        <f t="shared" si="21"/>
        <v>90000</v>
      </c>
      <c r="J29" s="130">
        <f t="shared" si="21"/>
        <v>10000</v>
      </c>
      <c r="K29" s="130">
        <f t="shared" si="21"/>
        <v>0</v>
      </c>
      <c r="L29" s="134">
        <f t="shared" si="21"/>
        <v>0</v>
      </c>
      <c r="M29" s="130">
        <f>+M30+M34+M39+M41</f>
        <v>543760</v>
      </c>
      <c r="N29" s="130">
        <f>+N30+N34+N39+N41</f>
        <v>543760</v>
      </c>
    </row>
    <row r="30" spans="1:14" hidden="1" x14ac:dyDescent="0.25">
      <c r="A30" s="128">
        <v>31</v>
      </c>
      <c r="B30" s="129" t="s">
        <v>42</v>
      </c>
      <c r="C30" s="130">
        <f>SUM(C31:C33)</f>
        <v>696000</v>
      </c>
      <c r="D30" s="130">
        <f>SUM(D31:D33)</f>
        <v>696000</v>
      </c>
      <c r="E30" s="130">
        <f>SUM(E31:E33)</f>
        <v>348000</v>
      </c>
      <c r="F30" s="130">
        <f t="shared" ref="F30:L30" si="22">SUM(F31:F33)</f>
        <v>348000</v>
      </c>
      <c r="G30" s="130">
        <f t="shared" si="22"/>
        <v>0</v>
      </c>
      <c r="H30" s="130">
        <f t="shared" si="22"/>
        <v>0</v>
      </c>
      <c r="I30" s="130">
        <f t="shared" si="22"/>
        <v>0</v>
      </c>
      <c r="J30" s="130">
        <f t="shared" si="22"/>
        <v>0</v>
      </c>
      <c r="K30" s="130">
        <f t="shared" si="22"/>
        <v>0</v>
      </c>
      <c r="L30" s="134">
        <f t="shared" si="22"/>
        <v>0</v>
      </c>
      <c r="M30" s="130">
        <f>SUM(M31:M33)</f>
        <v>348000</v>
      </c>
      <c r="N30" s="130">
        <f t="shared" ref="N30" si="23">SUM(N31:N33)</f>
        <v>348000</v>
      </c>
    </row>
    <row r="31" spans="1:14" hidden="1" x14ac:dyDescent="0.25">
      <c r="A31" s="131">
        <v>311</v>
      </c>
      <c r="B31" s="132" t="s">
        <v>135</v>
      </c>
      <c r="C31" s="133">
        <f t="shared" ref="C31:C43" si="24">SUM(E31:K31)</f>
        <v>274000</v>
      </c>
      <c r="D31" s="133">
        <f t="shared" ref="D31:E34" si="25">SUM(E31:K31)</f>
        <v>274000</v>
      </c>
      <c r="E31" s="133">
        <f t="shared" si="25"/>
        <v>137000</v>
      </c>
      <c r="F31" s="133">
        <v>137000</v>
      </c>
      <c r="G31" s="133"/>
      <c r="H31" s="133"/>
      <c r="I31" s="133"/>
      <c r="J31" s="133"/>
      <c r="K31" s="133"/>
      <c r="L31" s="135"/>
      <c r="M31" s="133">
        <f t="shared" ref="M31:M43" si="26">SUM(N31:N31)</f>
        <v>137000</v>
      </c>
      <c r="N31" s="133">
        <v>137000</v>
      </c>
    </row>
    <row r="32" spans="1:14" hidden="1" x14ac:dyDescent="0.25">
      <c r="A32" s="131">
        <v>312</v>
      </c>
      <c r="B32" s="132" t="s">
        <v>44</v>
      </c>
      <c r="C32" s="133">
        <f t="shared" si="24"/>
        <v>376000</v>
      </c>
      <c r="D32" s="133">
        <f t="shared" si="25"/>
        <v>376000</v>
      </c>
      <c r="E32" s="133">
        <f t="shared" si="25"/>
        <v>188000</v>
      </c>
      <c r="F32" s="133">
        <f>3000+185000</f>
        <v>188000</v>
      </c>
      <c r="G32" s="133"/>
      <c r="H32" s="133"/>
      <c r="I32" s="133"/>
      <c r="J32" s="133"/>
      <c r="K32" s="133"/>
      <c r="L32" s="135"/>
      <c r="M32" s="133">
        <f t="shared" si="26"/>
        <v>188000</v>
      </c>
      <c r="N32" s="133">
        <f>3000+185000</f>
        <v>188000</v>
      </c>
    </row>
    <row r="33" spans="1:14" hidden="1" x14ac:dyDescent="0.25">
      <c r="A33" s="131">
        <v>313</v>
      </c>
      <c r="B33" s="132" t="s">
        <v>45</v>
      </c>
      <c r="C33" s="133">
        <f t="shared" si="24"/>
        <v>46000</v>
      </c>
      <c r="D33" s="133">
        <f t="shared" si="25"/>
        <v>46000</v>
      </c>
      <c r="E33" s="133">
        <f t="shared" si="25"/>
        <v>23000</v>
      </c>
      <c r="F33" s="133">
        <v>23000</v>
      </c>
      <c r="G33" s="133"/>
      <c r="H33" s="133"/>
      <c r="I33" s="133"/>
      <c r="J33" s="133"/>
      <c r="K33" s="133"/>
      <c r="L33" s="135"/>
      <c r="M33" s="133">
        <f t="shared" si="26"/>
        <v>23000</v>
      </c>
      <c r="N33" s="133">
        <v>23000</v>
      </c>
    </row>
    <row r="34" spans="1:14" hidden="1" x14ac:dyDescent="0.25">
      <c r="A34" s="128">
        <v>32</v>
      </c>
      <c r="B34" s="129" t="s">
        <v>46</v>
      </c>
      <c r="C34" s="130">
        <f t="shared" si="24"/>
        <v>388520</v>
      </c>
      <c r="D34" s="130">
        <f t="shared" si="25"/>
        <v>388520</v>
      </c>
      <c r="E34" s="130">
        <f t="shared" si="25"/>
        <v>194260</v>
      </c>
      <c r="F34" s="130">
        <f>SUM(F35:F38)</f>
        <v>148260</v>
      </c>
      <c r="G34" s="130">
        <f t="shared" ref="G34:L34" si="27">SUM(G35:G38)</f>
        <v>10000</v>
      </c>
      <c r="H34" s="130">
        <f t="shared" si="27"/>
        <v>26000</v>
      </c>
      <c r="I34" s="130">
        <f t="shared" si="27"/>
        <v>0</v>
      </c>
      <c r="J34" s="130">
        <f t="shared" si="27"/>
        <v>10000</v>
      </c>
      <c r="K34" s="130">
        <f t="shared" si="27"/>
        <v>0</v>
      </c>
      <c r="L34" s="134">
        <f t="shared" si="27"/>
        <v>0</v>
      </c>
      <c r="M34" s="130">
        <f t="shared" si="26"/>
        <v>148260</v>
      </c>
      <c r="N34" s="130">
        <f>SUM(N35:N38)</f>
        <v>148260</v>
      </c>
    </row>
    <row r="35" spans="1:14" hidden="1" x14ac:dyDescent="0.25">
      <c r="A35" s="131">
        <v>321</v>
      </c>
      <c r="B35" s="132" t="s">
        <v>47</v>
      </c>
      <c r="C35" s="133">
        <f t="shared" si="24"/>
        <v>20000</v>
      </c>
      <c r="D35" s="133">
        <f t="shared" ref="D35:E42" si="28">SUM(E35:K35)</f>
        <v>20000</v>
      </c>
      <c r="E35" s="133">
        <f t="shared" si="28"/>
        <v>10000</v>
      </c>
      <c r="F35" s="133">
        <v>8500</v>
      </c>
      <c r="G35" s="133">
        <v>1500</v>
      </c>
      <c r="H35" s="133"/>
      <c r="I35" s="133"/>
      <c r="J35" s="133"/>
      <c r="K35" s="133"/>
      <c r="L35" s="135"/>
      <c r="M35" s="133">
        <f t="shared" si="26"/>
        <v>8500</v>
      </c>
      <c r="N35" s="133">
        <v>8500</v>
      </c>
    </row>
    <row r="36" spans="1:14" hidden="1" x14ac:dyDescent="0.25">
      <c r="A36" s="131">
        <v>322</v>
      </c>
      <c r="B36" s="132" t="s">
        <v>48</v>
      </c>
      <c r="C36" s="133">
        <f t="shared" si="24"/>
        <v>220600</v>
      </c>
      <c r="D36" s="133">
        <f t="shared" si="28"/>
        <v>220600</v>
      </c>
      <c r="E36" s="133">
        <f t="shared" si="28"/>
        <v>110300</v>
      </c>
      <c r="F36" s="133">
        <v>96000</v>
      </c>
      <c r="G36" s="133">
        <v>4300</v>
      </c>
      <c r="H36" s="133"/>
      <c r="I36" s="133"/>
      <c r="J36" s="133">
        <v>10000</v>
      </c>
      <c r="K36" s="133"/>
      <c r="L36" s="135"/>
      <c r="M36" s="133">
        <f t="shared" si="26"/>
        <v>96000</v>
      </c>
      <c r="N36" s="133">
        <v>96000</v>
      </c>
    </row>
    <row r="37" spans="1:14" hidden="1" x14ac:dyDescent="0.25">
      <c r="A37" s="131">
        <v>323</v>
      </c>
      <c r="B37" s="132" t="s">
        <v>49</v>
      </c>
      <c r="C37" s="133">
        <f t="shared" si="24"/>
        <v>93520</v>
      </c>
      <c r="D37" s="133">
        <f t="shared" si="28"/>
        <v>93520</v>
      </c>
      <c r="E37" s="133">
        <f t="shared" si="28"/>
        <v>46760</v>
      </c>
      <c r="F37" s="133">
        <f>38000+5760</f>
        <v>43760</v>
      </c>
      <c r="G37" s="133"/>
      <c r="H37" s="133">
        <v>3000</v>
      </c>
      <c r="I37" s="133"/>
      <c r="J37" s="133"/>
      <c r="K37" s="133"/>
      <c r="L37" s="135"/>
      <c r="M37" s="133">
        <f t="shared" si="26"/>
        <v>43760</v>
      </c>
      <c r="N37" s="133">
        <f>38000+5760</f>
        <v>43760</v>
      </c>
    </row>
    <row r="38" spans="1:14" hidden="1" x14ac:dyDescent="0.25">
      <c r="A38" s="131">
        <v>329</v>
      </c>
      <c r="B38" s="132" t="s">
        <v>50</v>
      </c>
      <c r="C38" s="133">
        <f t="shared" si="24"/>
        <v>54400</v>
      </c>
      <c r="D38" s="133">
        <f t="shared" si="28"/>
        <v>54400</v>
      </c>
      <c r="E38" s="133">
        <f t="shared" si="28"/>
        <v>27200</v>
      </c>
      <c r="F38" s="133"/>
      <c r="G38" s="133">
        <v>4200</v>
      </c>
      <c r="H38" s="133">
        <v>23000</v>
      </c>
      <c r="I38" s="133"/>
      <c r="J38" s="133"/>
      <c r="K38" s="133"/>
      <c r="L38" s="135"/>
      <c r="M38" s="133">
        <f t="shared" si="26"/>
        <v>0</v>
      </c>
      <c r="N38" s="133"/>
    </row>
    <row r="39" spans="1:14" hidden="1" x14ac:dyDescent="0.25">
      <c r="A39" s="128">
        <v>34</v>
      </c>
      <c r="B39" s="129" t="s">
        <v>136</v>
      </c>
      <c r="C39" s="130">
        <f t="shared" si="24"/>
        <v>0</v>
      </c>
      <c r="D39" s="130">
        <f t="shared" si="28"/>
        <v>0</v>
      </c>
      <c r="E39" s="130">
        <f t="shared" si="28"/>
        <v>0</v>
      </c>
      <c r="F39" s="130">
        <f t="shared" ref="F39:N39" si="29">+F40</f>
        <v>0</v>
      </c>
      <c r="G39" s="130">
        <f t="shared" si="29"/>
        <v>0</v>
      </c>
      <c r="H39" s="130">
        <f t="shared" si="29"/>
        <v>0</v>
      </c>
      <c r="I39" s="130">
        <f t="shared" si="29"/>
        <v>0</v>
      </c>
      <c r="J39" s="130">
        <f t="shared" si="29"/>
        <v>0</v>
      </c>
      <c r="K39" s="130">
        <f t="shared" si="29"/>
        <v>0</v>
      </c>
      <c r="L39" s="134">
        <f t="shared" si="29"/>
        <v>0</v>
      </c>
      <c r="M39" s="130">
        <f t="shared" si="26"/>
        <v>0</v>
      </c>
      <c r="N39" s="130">
        <f t="shared" si="29"/>
        <v>0</v>
      </c>
    </row>
    <row r="40" spans="1:14" hidden="1" x14ac:dyDescent="0.25">
      <c r="A40" s="131">
        <v>343</v>
      </c>
      <c r="B40" s="132" t="s">
        <v>52</v>
      </c>
      <c r="C40" s="133">
        <f t="shared" si="24"/>
        <v>0</v>
      </c>
      <c r="D40" s="133">
        <f t="shared" si="28"/>
        <v>0</v>
      </c>
      <c r="E40" s="133">
        <f t="shared" si="28"/>
        <v>0</v>
      </c>
      <c r="F40" s="133"/>
      <c r="G40" s="133"/>
      <c r="H40" s="133"/>
      <c r="I40" s="133"/>
      <c r="J40" s="133"/>
      <c r="K40" s="133"/>
      <c r="L40" s="135"/>
      <c r="M40" s="133">
        <f t="shared" si="26"/>
        <v>0</v>
      </c>
      <c r="N40" s="133"/>
    </row>
    <row r="41" spans="1:14" ht="26.25" hidden="1" x14ac:dyDescent="0.25">
      <c r="A41" s="128">
        <v>37</v>
      </c>
      <c r="B41" s="129" t="s">
        <v>137</v>
      </c>
      <c r="C41" s="130">
        <f t="shared" si="24"/>
        <v>275000</v>
      </c>
      <c r="D41" s="130">
        <f t="shared" si="28"/>
        <v>275000</v>
      </c>
      <c r="E41" s="130">
        <f t="shared" si="28"/>
        <v>137500</v>
      </c>
      <c r="F41" s="130">
        <f t="shared" ref="F41:N41" si="30">+F42</f>
        <v>47500</v>
      </c>
      <c r="G41" s="130">
        <f t="shared" si="30"/>
        <v>0</v>
      </c>
      <c r="H41" s="130">
        <f t="shared" si="30"/>
        <v>0</v>
      </c>
      <c r="I41" s="130">
        <f t="shared" si="30"/>
        <v>90000</v>
      </c>
      <c r="J41" s="130">
        <f t="shared" si="30"/>
        <v>0</v>
      </c>
      <c r="K41" s="130">
        <f t="shared" si="30"/>
        <v>0</v>
      </c>
      <c r="L41" s="134">
        <f t="shared" si="30"/>
        <v>0</v>
      </c>
      <c r="M41" s="130">
        <f t="shared" si="26"/>
        <v>47500</v>
      </c>
      <c r="N41" s="130">
        <f t="shared" si="30"/>
        <v>47500</v>
      </c>
    </row>
    <row r="42" spans="1:14" hidden="1" x14ac:dyDescent="0.25">
      <c r="A42" s="131">
        <v>372</v>
      </c>
      <c r="B42" s="132" t="s">
        <v>54</v>
      </c>
      <c r="C42" s="133">
        <f t="shared" si="24"/>
        <v>275000</v>
      </c>
      <c r="D42" s="133">
        <f t="shared" si="28"/>
        <v>275000</v>
      </c>
      <c r="E42" s="133">
        <f t="shared" si="28"/>
        <v>137500</v>
      </c>
      <c r="F42" s="133">
        <f>30000+17500</f>
        <v>47500</v>
      </c>
      <c r="G42" s="133"/>
      <c r="H42" s="133"/>
      <c r="I42" s="133">
        <v>90000</v>
      </c>
      <c r="J42" s="133"/>
      <c r="K42" s="133"/>
      <c r="L42" s="135"/>
      <c r="M42" s="133">
        <f t="shared" si="26"/>
        <v>47500</v>
      </c>
      <c r="N42" s="133">
        <f>30000+17500</f>
        <v>47500</v>
      </c>
    </row>
    <row r="43" spans="1:14" hidden="1" x14ac:dyDescent="0.25">
      <c r="A43" s="128">
        <v>4</v>
      </c>
      <c r="B43" s="129" t="s">
        <v>138</v>
      </c>
      <c r="C43" s="130">
        <f t="shared" si="24"/>
        <v>32000</v>
      </c>
      <c r="D43" s="130">
        <f>SUM(E43:K43)</f>
        <v>32000</v>
      </c>
      <c r="E43" s="130">
        <f>SUM(F43:L43)</f>
        <v>16000</v>
      </c>
      <c r="F43" s="130">
        <f>+F46+F44</f>
        <v>0</v>
      </c>
      <c r="G43" s="130">
        <f t="shared" ref="G43:L43" si="31">+G46+G44</f>
        <v>6000</v>
      </c>
      <c r="H43" s="130">
        <f t="shared" si="31"/>
        <v>0</v>
      </c>
      <c r="I43" s="130">
        <f t="shared" si="31"/>
        <v>0</v>
      </c>
      <c r="J43" s="130">
        <f t="shared" si="31"/>
        <v>10000</v>
      </c>
      <c r="K43" s="130">
        <f t="shared" si="31"/>
        <v>0</v>
      </c>
      <c r="L43" s="134">
        <f t="shared" si="31"/>
        <v>0</v>
      </c>
      <c r="M43" s="130">
        <f t="shared" si="26"/>
        <v>0</v>
      </c>
      <c r="N43" s="130">
        <f>+N46+N44</f>
        <v>0</v>
      </c>
    </row>
    <row r="44" spans="1:14" hidden="1" x14ac:dyDescent="0.25">
      <c r="A44" s="128">
        <v>41</v>
      </c>
      <c r="B44" s="129" t="s">
        <v>139</v>
      </c>
      <c r="C44" s="130">
        <f>+C45</f>
        <v>0</v>
      </c>
      <c r="D44" s="130">
        <f>+D45</f>
        <v>0</v>
      </c>
      <c r="E44" s="130">
        <f>+E45</f>
        <v>0</v>
      </c>
      <c r="F44" s="130">
        <f t="shared" ref="F44:N44" si="32">+F45</f>
        <v>0</v>
      </c>
      <c r="G44" s="130">
        <f t="shared" si="32"/>
        <v>0</v>
      </c>
      <c r="H44" s="130">
        <f t="shared" si="32"/>
        <v>0</v>
      </c>
      <c r="I44" s="130">
        <f t="shared" si="32"/>
        <v>0</v>
      </c>
      <c r="J44" s="130">
        <f t="shared" si="32"/>
        <v>0</v>
      </c>
      <c r="K44" s="130">
        <f t="shared" si="32"/>
        <v>0</v>
      </c>
      <c r="L44" s="134">
        <f t="shared" si="32"/>
        <v>0</v>
      </c>
      <c r="M44" s="130">
        <f>+M45</f>
        <v>0</v>
      </c>
      <c r="N44" s="130">
        <f t="shared" si="32"/>
        <v>0</v>
      </c>
    </row>
    <row r="45" spans="1:14" hidden="1" x14ac:dyDescent="0.25">
      <c r="A45" s="131">
        <v>412</v>
      </c>
      <c r="B45" s="132" t="s">
        <v>57</v>
      </c>
      <c r="C45" s="133">
        <f>SUM(E45:K45)</f>
        <v>0</v>
      </c>
      <c r="D45" s="133">
        <f t="shared" ref="D45:E48" si="33">SUM(E45:K45)</f>
        <v>0</v>
      </c>
      <c r="E45" s="133">
        <f t="shared" si="33"/>
        <v>0</v>
      </c>
      <c r="F45" s="133"/>
      <c r="G45" s="133"/>
      <c r="H45" s="133"/>
      <c r="I45" s="133"/>
      <c r="J45" s="133"/>
      <c r="K45" s="133"/>
      <c r="L45" s="135"/>
      <c r="M45" s="133">
        <f>SUM(N45:N45)</f>
        <v>0</v>
      </c>
      <c r="N45" s="133"/>
    </row>
    <row r="46" spans="1:14" hidden="1" x14ac:dyDescent="0.25">
      <c r="A46" s="128">
        <v>42</v>
      </c>
      <c r="B46" s="129" t="s">
        <v>140</v>
      </c>
      <c r="C46" s="130">
        <f>SUM(E46:K46)</f>
        <v>32000</v>
      </c>
      <c r="D46" s="130">
        <f t="shared" si="33"/>
        <v>32000</v>
      </c>
      <c r="E46" s="130">
        <f t="shared" si="33"/>
        <v>16000</v>
      </c>
      <c r="F46" s="130">
        <f t="shared" ref="F46:L46" si="34">+F47+F48</f>
        <v>0</v>
      </c>
      <c r="G46" s="130">
        <f t="shared" si="34"/>
        <v>6000</v>
      </c>
      <c r="H46" s="130">
        <f t="shared" si="34"/>
        <v>0</v>
      </c>
      <c r="I46" s="130">
        <f t="shared" si="34"/>
        <v>0</v>
      </c>
      <c r="J46" s="130">
        <f t="shared" si="34"/>
        <v>10000</v>
      </c>
      <c r="K46" s="130">
        <f t="shared" si="34"/>
        <v>0</v>
      </c>
      <c r="L46" s="134">
        <f t="shared" si="34"/>
        <v>0</v>
      </c>
      <c r="M46" s="130">
        <f>SUM(N46:N46)</f>
        <v>0</v>
      </c>
      <c r="N46" s="130">
        <f t="shared" ref="N46" si="35">+N47+N48</f>
        <v>0</v>
      </c>
    </row>
    <row r="47" spans="1:14" hidden="1" x14ac:dyDescent="0.25">
      <c r="A47" s="131">
        <v>422</v>
      </c>
      <c r="B47" s="132" t="s">
        <v>59</v>
      </c>
      <c r="C47" s="133">
        <f>SUM(E47:K47)</f>
        <v>32000</v>
      </c>
      <c r="D47" s="133">
        <f t="shared" si="33"/>
        <v>32000</v>
      </c>
      <c r="E47" s="133">
        <f t="shared" si="33"/>
        <v>16000</v>
      </c>
      <c r="F47" s="133"/>
      <c r="G47" s="133">
        <v>6000</v>
      </c>
      <c r="H47" s="133"/>
      <c r="I47" s="133"/>
      <c r="J47" s="133">
        <v>10000</v>
      </c>
      <c r="K47" s="133"/>
      <c r="L47" s="135"/>
      <c r="M47" s="133">
        <f>SUM(N47:N47)</f>
        <v>0</v>
      </c>
      <c r="N47" s="133"/>
    </row>
    <row r="48" spans="1:14" hidden="1" x14ac:dyDescent="0.25">
      <c r="A48" s="131">
        <v>424</v>
      </c>
      <c r="B48" s="132" t="s">
        <v>141</v>
      </c>
      <c r="C48" s="133">
        <f>SUM(E48:K48)</f>
        <v>0</v>
      </c>
      <c r="D48" s="133">
        <f t="shared" si="33"/>
        <v>0</v>
      </c>
      <c r="E48" s="133">
        <f t="shared" si="33"/>
        <v>0</v>
      </c>
      <c r="F48" s="133"/>
      <c r="G48" s="133"/>
      <c r="H48" s="133"/>
      <c r="I48" s="133"/>
      <c r="J48" s="133"/>
      <c r="K48" s="133"/>
      <c r="L48" s="135"/>
      <c r="M48" s="133">
        <f>SUM(N48:N48)</f>
        <v>0</v>
      </c>
      <c r="N48" s="133"/>
    </row>
    <row r="49" spans="1:14" hidden="1" x14ac:dyDescent="0.25">
      <c r="A49" s="125" t="s">
        <v>146</v>
      </c>
      <c r="B49" s="126" t="s">
        <v>147</v>
      </c>
      <c r="C49" s="127">
        <f t="shared" ref="C49:D49" si="36">+C50+C64</f>
        <v>160000</v>
      </c>
      <c r="D49" s="127">
        <f t="shared" si="36"/>
        <v>160000</v>
      </c>
      <c r="E49" s="127">
        <f t="shared" ref="E49:L49" si="37">+E50+E64</f>
        <v>80000</v>
      </c>
      <c r="F49" s="127">
        <f t="shared" si="37"/>
        <v>80000</v>
      </c>
      <c r="G49" s="127">
        <f t="shared" si="37"/>
        <v>0</v>
      </c>
      <c r="H49" s="127">
        <f t="shared" si="37"/>
        <v>0</v>
      </c>
      <c r="I49" s="127">
        <f t="shared" si="37"/>
        <v>0</v>
      </c>
      <c r="J49" s="127">
        <f t="shared" si="37"/>
        <v>0</v>
      </c>
      <c r="K49" s="127">
        <f t="shared" si="37"/>
        <v>0</v>
      </c>
      <c r="L49" s="127">
        <f t="shared" si="37"/>
        <v>0</v>
      </c>
      <c r="M49" s="127">
        <f t="shared" ref="M49:N49" si="38">+M50+M64</f>
        <v>80000</v>
      </c>
      <c r="N49" s="127">
        <f t="shared" si="38"/>
        <v>80000</v>
      </c>
    </row>
    <row r="50" spans="1:14" hidden="1" x14ac:dyDescent="0.25">
      <c r="A50" s="128">
        <v>3</v>
      </c>
      <c r="B50" s="129" t="s">
        <v>41</v>
      </c>
      <c r="C50" s="130">
        <f>+C51+C55+C60+C62</f>
        <v>160000</v>
      </c>
      <c r="D50" s="130">
        <f>+D51+D55+D60+D62</f>
        <v>160000</v>
      </c>
      <c r="E50" s="130">
        <f>+E51+E55+E60+E62</f>
        <v>80000</v>
      </c>
      <c r="F50" s="130">
        <f>+F51+F55+F60+F62</f>
        <v>80000</v>
      </c>
      <c r="G50" s="130">
        <f t="shared" ref="G50:L50" si="39">+G51+G55+G60+G62</f>
        <v>0</v>
      </c>
      <c r="H50" s="130">
        <f t="shared" si="39"/>
        <v>0</v>
      </c>
      <c r="I50" s="130">
        <f t="shared" si="39"/>
        <v>0</v>
      </c>
      <c r="J50" s="130">
        <f t="shared" si="39"/>
        <v>0</v>
      </c>
      <c r="K50" s="130">
        <f t="shared" si="39"/>
        <v>0</v>
      </c>
      <c r="L50" s="134">
        <f t="shared" si="39"/>
        <v>0</v>
      </c>
      <c r="M50" s="130">
        <f>+M51+M55+M60+M62</f>
        <v>80000</v>
      </c>
      <c r="N50" s="130">
        <f>+N51+N55+N60+N62</f>
        <v>80000</v>
      </c>
    </row>
    <row r="51" spans="1:14" hidden="1" x14ac:dyDescent="0.25">
      <c r="A51" s="128">
        <v>31</v>
      </c>
      <c r="B51" s="129" t="s">
        <v>42</v>
      </c>
      <c r="C51" s="130">
        <f>SUM(C52:C54)</f>
        <v>160000</v>
      </c>
      <c r="D51" s="130">
        <f>SUM(D52:D54)</f>
        <v>160000</v>
      </c>
      <c r="E51" s="130">
        <f>SUM(E52:E54)</f>
        <v>80000</v>
      </c>
      <c r="F51" s="130">
        <f t="shared" ref="F51:L51" si="40">SUM(F52:F54)</f>
        <v>80000</v>
      </c>
      <c r="G51" s="130">
        <f t="shared" si="40"/>
        <v>0</v>
      </c>
      <c r="H51" s="130">
        <f t="shared" si="40"/>
        <v>0</v>
      </c>
      <c r="I51" s="130">
        <f t="shared" si="40"/>
        <v>0</v>
      </c>
      <c r="J51" s="130">
        <f t="shared" si="40"/>
        <v>0</v>
      </c>
      <c r="K51" s="130">
        <f t="shared" si="40"/>
        <v>0</v>
      </c>
      <c r="L51" s="134">
        <f t="shared" si="40"/>
        <v>0</v>
      </c>
      <c r="M51" s="130">
        <f>SUM(M52:M54)</f>
        <v>80000</v>
      </c>
      <c r="N51" s="130">
        <f t="shared" ref="N51" si="41">SUM(N52:N54)</f>
        <v>80000</v>
      </c>
    </row>
    <row r="52" spans="1:14" hidden="1" x14ac:dyDescent="0.25">
      <c r="A52" s="131">
        <v>311</v>
      </c>
      <c r="B52" s="132" t="s">
        <v>135</v>
      </c>
      <c r="C52" s="133">
        <f>SUM(E52:K52)</f>
        <v>0</v>
      </c>
      <c r="D52" s="133">
        <f t="shared" ref="D52:E55" si="42">SUM(E52:K52)</f>
        <v>0</v>
      </c>
      <c r="E52" s="133">
        <f t="shared" si="42"/>
        <v>0</v>
      </c>
      <c r="F52" s="133"/>
      <c r="G52" s="133"/>
      <c r="H52" s="133"/>
      <c r="I52" s="133"/>
      <c r="J52" s="133"/>
      <c r="K52" s="133"/>
      <c r="L52" s="135"/>
      <c r="M52" s="133">
        <f>SUM(N52:N52)</f>
        <v>0</v>
      </c>
      <c r="N52" s="133"/>
    </row>
    <row r="53" spans="1:14" hidden="1" x14ac:dyDescent="0.25">
      <c r="A53" s="131">
        <v>312</v>
      </c>
      <c r="B53" s="132" t="s">
        <v>44</v>
      </c>
      <c r="C53" s="133">
        <f>SUM(E53:K53)</f>
        <v>160000</v>
      </c>
      <c r="D53" s="133">
        <f t="shared" si="42"/>
        <v>160000</v>
      </c>
      <c r="E53" s="133">
        <f t="shared" si="42"/>
        <v>80000</v>
      </c>
      <c r="F53" s="133">
        <v>80000</v>
      </c>
      <c r="G53" s="133"/>
      <c r="H53" s="133"/>
      <c r="I53" s="133"/>
      <c r="J53" s="133"/>
      <c r="K53" s="133"/>
      <c r="L53" s="135"/>
      <c r="M53" s="133">
        <f>SUM(N53:N53)</f>
        <v>80000</v>
      </c>
      <c r="N53" s="133">
        <v>80000</v>
      </c>
    </row>
    <row r="54" spans="1:14" hidden="1" x14ac:dyDescent="0.25">
      <c r="A54" s="131">
        <v>313</v>
      </c>
      <c r="B54" s="132" t="s">
        <v>45</v>
      </c>
      <c r="C54" s="133">
        <f>SUM(E54:K54)</f>
        <v>0</v>
      </c>
      <c r="D54" s="133">
        <f t="shared" si="42"/>
        <v>0</v>
      </c>
      <c r="E54" s="133">
        <f t="shared" si="42"/>
        <v>0</v>
      </c>
      <c r="F54" s="133"/>
      <c r="G54" s="133"/>
      <c r="H54" s="133"/>
      <c r="I54" s="133"/>
      <c r="J54" s="133"/>
      <c r="K54" s="133"/>
      <c r="L54" s="135"/>
      <c r="M54" s="133">
        <f>SUM(N54:N54)</f>
        <v>0</v>
      </c>
      <c r="N54" s="133"/>
    </row>
    <row r="55" spans="1:14" hidden="1" x14ac:dyDescent="0.25">
      <c r="A55" s="128">
        <v>32</v>
      </c>
      <c r="B55" s="129" t="s">
        <v>46</v>
      </c>
      <c r="C55" s="130">
        <f>SUM(E55:K55)</f>
        <v>0</v>
      </c>
      <c r="D55" s="130">
        <f t="shared" si="42"/>
        <v>0</v>
      </c>
      <c r="E55" s="130">
        <f t="shared" si="42"/>
        <v>0</v>
      </c>
      <c r="F55" s="130">
        <f>SUM(F56:F59)</f>
        <v>0</v>
      </c>
      <c r="G55" s="130">
        <f t="shared" ref="G55:L55" si="43">SUM(G56:G59)</f>
        <v>0</v>
      </c>
      <c r="H55" s="130">
        <f t="shared" si="43"/>
        <v>0</v>
      </c>
      <c r="I55" s="130">
        <f t="shared" si="43"/>
        <v>0</v>
      </c>
      <c r="J55" s="130">
        <f t="shared" si="43"/>
        <v>0</v>
      </c>
      <c r="K55" s="130">
        <f t="shared" si="43"/>
        <v>0</v>
      </c>
      <c r="L55" s="134">
        <f t="shared" si="43"/>
        <v>0</v>
      </c>
      <c r="M55" s="130">
        <f>SUM(N55:N55)</f>
        <v>0</v>
      </c>
      <c r="N55" s="130">
        <f>SUM(N56:N59)</f>
        <v>0</v>
      </c>
    </row>
    <row r="56" spans="1:14" hidden="1" x14ac:dyDescent="0.25">
      <c r="A56" s="131">
        <v>321</v>
      </c>
      <c r="B56" s="132" t="s">
        <v>47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5"/>
      <c r="M56" s="133"/>
      <c r="N56" s="133"/>
    </row>
    <row r="57" spans="1:14" hidden="1" x14ac:dyDescent="0.25">
      <c r="A57" s="131">
        <v>322</v>
      </c>
      <c r="B57" s="132" t="s">
        <v>48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5"/>
      <c r="M57" s="133"/>
      <c r="N57" s="133"/>
    </row>
    <row r="58" spans="1:14" hidden="1" x14ac:dyDescent="0.25">
      <c r="A58" s="131">
        <v>323</v>
      </c>
      <c r="B58" s="132" t="s">
        <v>49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5"/>
      <c r="M58" s="133"/>
      <c r="N58" s="133"/>
    </row>
    <row r="59" spans="1:14" hidden="1" x14ac:dyDescent="0.25">
      <c r="A59" s="131">
        <v>329</v>
      </c>
      <c r="B59" s="132" t="s">
        <v>50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5"/>
      <c r="M59" s="133"/>
      <c r="N59" s="133"/>
    </row>
    <row r="60" spans="1:14" hidden="1" x14ac:dyDescent="0.25">
      <c r="A60" s="128">
        <v>34</v>
      </c>
      <c r="B60" s="129" t="s">
        <v>136</v>
      </c>
      <c r="C60" s="130">
        <f>SUM(E60:K60)</f>
        <v>0</v>
      </c>
      <c r="D60" s="130">
        <f t="shared" ref="D60:E62" si="44">SUM(E60:K60)</f>
        <v>0</v>
      </c>
      <c r="E60" s="130">
        <f t="shared" si="44"/>
        <v>0</v>
      </c>
      <c r="F60" s="130">
        <f t="shared" ref="F60:N60" si="45">+F61</f>
        <v>0</v>
      </c>
      <c r="G60" s="130">
        <f t="shared" si="45"/>
        <v>0</v>
      </c>
      <c r="H60" s="130">
        <f t="shared" si="45"/>
        <v>0</v>
      </c>
      <c r="I60" s="130">
        <f t="shared" si="45"/>
        <v>0</v>
      </c>
      <c r="J60" s="130">
        <f t="shared" si="45"/>
        <v>0</v>
      </c>
      <c r="K60" s="130">
        <f t="shared" si="45"/>
        <v>0</v>
      </c>
      <c r="L60" s="134">
        <f t="shared" si="45"/>
        <v>0</v>
      </c>
      <c r="M60" s="130">
        <f>SUM(N60:N60)</f>
        <v>0</v>
      </c>
      <c r="N60" s="130">
        <f t="shared" si="45"/>
        <v>0</v>
      </c>
    </row>
    <row r="61" spans="1:14" hidden="1" x14ac:dyDescent="0.25">
      <c r="A61" s="131">
        <v>343</v>
      </c>
      <c r="B61" s="132" t="s">
        <v>52</v>
      </c>
      <c r="C61" s="133">
        <f>SUM(E61:K61)</f>
        <v>0</v>
      </c>
      <c r="D61" s="133">
        <f t="shared" si="44"/>
        <v>0</v>
      </c>
      <c r="E61" s="133">
        <f t="shared" si="44"/>
        <v>0</v>
      </c>
      <c r="F61" s="133"/>
      <c r="G61" s="133"/>
      <c r="H61" s="133"/>
      <c r="I61" s="133"/>
      <c r="J61" s="133"/>
      <c r="K61" s="133"/>
      <c r="L61" s="135"/>
      <c r="M61" s="133">
        <f>SUM(N61:N61)</f>
        <v>0</v>
      </c>
      <c r="N61" s="133"/>
    </row>
    <row r="62" spans="1:14" ht="26.25" hidden="1" x14ac:dyDescent="0.25">
      <c r="A62" s="128">
        <v>37</v>
      </c>
      <c r="B62" s="129" t="s">
        <v>137</v>
      </c>
      <c r="C62" s="130">
        <f>SUM(E62:K62)</f>
        <v>0</v>
      </c>
      <c r="D62" s="130">
        <f t="shared" si="44"/>
        <v>0</v>
      </c>
      <c r="E62" s="130">
        <f t="shared" si="44"/>
        <v>0</v>
      </c>
      <c r="F62" s="130">
        <f t="shared" ref="F62:N62" si="46">+F63</f>
        <v>0</v>
      </c>
      <c r="G62" s="130">
        <f t="shared" si="46"/>
        <v>0</v>
      </c>
      <c r="H62" s="130">
        <f t="shared" si="46"/>
        <v>0</v>
      </c>
      <c r="I62" s="130">
        <f t="shared" si="46"/>
        <v>0</v>
      </c>
      <c r="J62" s="130">
        <f t="shared" si="46"/>
        <v>0</v>
      </c>
      <c r="K62" s="130">
        <f t="shared" si="46"/>
        <v>0</v>
      </c>
      <c r="L62" s="134">
        <f t="shared" si="46"/>
        <v>0</v>
      </c>
      <c r="M62" s="130">
        <f>SUM(N62:N62)</f>
        <v>0</v>
      </c>
      <c r="N62" s="130">
        <f t="shared" si="46"/>
        <v>0</v>
      </c>
    </row>
    <row r="63" spans="1:14" hidden="1" x14ac:dyDescent="0.25">
      <c r="A63" s="131">
        <v>372</v>
      </c>
      <c r="B63" s="132" t="s">
        <v>54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5"/>
      <c r="M63" s="133"/>
      <c r="N63" s="133"/>
    </row>
    <row r="64" spans="1:14" hidden="1" x14ac:dyDescent="0.25">
      <c r="A64" s="128">
        <v>4</v>
      </c>
      <c r="B64" s="129" t="s">
        <v>138</v>
      </c>
      <c r="C64" s="130">
        <f>SUM(E64:K64)</f>
        <v>0</v>
      </c>
      <c r="D64" s="130">
        <f>SUM(E64:K64)</f>
        <v>0</v>
      </c>
      <c r="E64" s="130">
        <f>SUM(F64:L64)</f>
        <v>0</v>
      </c>
      <c r="F64" s="130">
        <f>+F67+F65</f>
        <v>0</v>
      </c>
      <c r="G64" s="130">
        <f t="shared" ref="G64:L64" si="47">+G67+G65</f>
        <v>0</v>
      </c>
      <c r="H64" s="130">
        <f t="shared" si="47"/>
        <v>0</v>
      </c>
      <c r="I64" s="130">
        <f t="shared" si="47"/>
        <v>0</v>
      </c>
      <c r="J64" s="130">
        <f t="shared" si="47"/>
        <v>0</v>
      </c>
      <c r="K64" s="130">
        <f t="shared" si="47"/>
        <v>0</v>
      </c>
      <c r="L64" s="134">
        <f t="shared" si="47"/>
        <v>0</v>
      </c>
      <c r="M64" s="130">
        <f>SUM(N64:N64)</f>
        <v>0</v>
      </c>
      <c r="N64" s="130">
        <f>+N67+N65</f>
        <v>0</v>
      </c>
    </row>
    <row r="65" spans="1:14" hidden="1" x14ac:dyDescent="0.25">
      <c r="A65" s="128">
        <v>41</v>
      </c>
      <c r="B65" s="129" t="s">
        <v>139</v>
      </c>
      <c r="C65" s="130">
        <f>+C66</f>
        <v>0</v>
      </c>
      <c r="D65" s="130">
        <f>+D66</f>
        <v>0</v>
      </c>
      <c r="E65" s="130">
        <f>+E66</f>
        <v>0</v>
      </c>
      <c r="F65" s="130">
        <f t="shared" ref="F65:N65" si="48">+F66</f>
        <v>0</v>
      </c>
      <c r="G65" s="130">
        <f t="shared" si="48"/>
        <v>0</v>
      </c>
      <c r="H65" s="130">
        <f t="shared" si="48"/>
        <v>0</v>
      </c>
      <c r="I65" s="130">
        <f t="shared" si="48"/>
        <v>0</v>
      </c>
      <c r="J65" s="130">
        <f t="shared" si="48"/>
        <v>0</v>
      </c>
      <c r="K65" s="130">
        <f t="shared" si="48"/>
        <v>0</v>
      </c>
      <c r="L65" s="134">
        <f t="shared" si="48"/>
        <v>0</v>
      </c>
      <c r="M65" s="130">
        <f>+M66</f>
        <v>0</v>
      </c>
      <c r="N65" s="130">
        <f t="shared" si="48"/>
        <v>0</v>
      </c>
    </row>
    <row r="66" spans="1:14" hidden="1" x14ac:dyDescent="0.25">
      <c r="A66" s="131">
        <v>412</v>
      </c>
      <c r="B66" s="132" t="s">
        <v>57</v>
      </c>
      <c r="C66" s="133">
        <f>SUM(E66:K66)</f>
        <v>0</v>
      </c>
      <c r="D66" s="133">
        <f>SUM(E66:K66)</f>
        <v>0</v>
      </c>
      <c r="E66" s="133">
        <f>SUM(F66:L66)</f>
        <v>0</v>
      </c>
      <c r="F66" s="133"/>
      <c r="G66" s="133"/>
      <c r="H66" s="133"/>
      <c r="I66" s="133"/>
      <c r="J66" s="133"/>
      <c r="K66" s="133"/>
      <c r="L66" s="135"/>
      <c r="M66" s="133">
        <f>SUM(N66:N66)</f>
        <v>0</v>
      </c>
      <c r="N66" s="133"/>
    </row>
    <row r="67" spans="1:14" hidden="1" x14ac:dyDescent="0.25">
      <c r="A67" s="128">
        <v>42</v>
      </c>
      <c r="B67" s="129" t="s">
        <v>140</v>
      </c>
      <c r="C67" s="130">
        <f>SUM(E67:K67)</f>
        <v>0</v>
      </c>
      <c r="D67" s="130">
        <f>SUM(E67:K67)</f>
        <v>0</v>
      </c>
      <c r="E67" s="130">
        <f>SUM(F67:L67)</f>
        <v>0</v>
      </c>
      <c r="F67" s="130">
        <f t="shared" ref="F67:L67" si="49">+F68+F69</f>
        <v>0</v>
      </c>
      <c r="G67" s="130">
        <f t="shared" si="49"/>
        <v>0</v>
      </c>
      <c r="H67" s="130">
        <f t="shared" si="49"/>
        <v>0</v>
      </c>
      <c r="I67" s="130">
        <f t="shared" si="49"/>
        <v>0</v>
      </c>
      <c r="J67" s="130">
        <f t="shared" si="49"/>
        <v>0</v>
      </c>
      <c r="K67" s="130">
        <f t="shared" si="49"/>
        <v>0</v>
      </c>
      <c r="L67" s="134">
        <f t="shared" si="49"/>
        <v>0</v>
      </c>
      <c r="M67" s="130">
        <f>SUM(N67:N67)</f>
        <v>0</v>
      </c>
      <c r="N67" s="130">
        <f t="shared" ref="N67" si="50">+N68+N69</f>
        <v>0</v>
      </c>
    </row>
    <row r="68" spans="1:14" hidden="1" x14ac:dyDescent="0.25">
      <c r="A68" s="131">
        <v>422</v>
      </c>
      <c r="B68" s="132" t="s">
        <v>59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5"/>
      <c r="M68" s="133"/>
      <c r="N68" s="133"/>
    </row>
    <row r="69" spans="1:14" hidden="1" x14ac:dyDescent="0.25">
      <c r="A69" s="131">
        <v>424</v>
      </c>
      <c r="B69" s="132" t="s">
        <v>141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5"/>
      <c r="M69" s="133"/>
      <c r="N69" s="133"/>
    </row>
    <row r="70" spans="1:14" hidden="1" x14ac:dyDescent="0.25">
      <c r="A70" s="125" t="s">
        <v>148</v>
      </c>
      <c r="B70" s="126" t="s">
        <v>149</v>
      </c>
      <c r="C70" s="127">
        <f t="shared" ref="C70:D70" si="51">+C71+C85</f>
        <v>20000</v>
      </c>
      <c r="D70" s="127">
        <f t="shared" si="51"/>
        <v>20000</v>
      </c>
      <c r="E70" s="127">
        <f t="shared" ref="E70:L70" si="52">+E71+E85</f>
        <v>10000</v>
      </c>
      <c r="F70" s="127">
        <f t="shared" si="52"/>
        <v>10000</v>
      </c>
      <c r="G70" s="127">
        <f t="shared" si="52"/>
        <v>0</v>
      </c>
      <c r="H70" s="127">
        <f t="shared" si="52"/>
        <v>0</v>
      </c>
      <c r="I70" s="127">
        <f t="shared" si="52"/>
        <v>0</v>
      </c>
      <c r="J70" s="127">
        <f t="shared" si="52"/>
        <v>0</v>
      </c>
      <c r="K70" s="127">
        <f t="shared" si="52"/>
        <v>0</v>
      </c>
      <c r="L70" s="127">
        <f t="shared" si="52"/>
        <v>0</v>
      </c>
      <c r="M70" s="127">
        <f t="shared" ref="M70:N70" si="53">+M71+M85</f>
        <v>10000</v>
      </c>
      <c r="N70" s="127">
        <f t="shared" si="53"/>
        <v>10000</v>
      </c>
    </row>
    <row r="71" spans="1:14" hidden="1" x14ac:dyDescent="0.25">
      <c r="A71" s="128">
        <v>3</v>
      </c>
      <c r="B71" s="129" t="s">
        <v>41</v>
      </c>
      <c r="C71" s="130">
        <f>+C72+C76+C81+C83</f>
        <v>20000</v>
      </c>
      <c r="D71" s="130">
        <f>+D72+D76+D81+D83</f>
        <v>20000</v>
      </c>
      <c r="E71" s="130">
        <f>+E72+E76+E81+E83</f>
        <v>10000</v>
      </c>
      <c r="F71" s="130">
        <f>+F72+F76+F81+F83</f>
        <v>10000</v>
      </c>
      <c r="G71" s="130">
        <f t="shared" ref="G71:L71" si="54">+G72+G76+G81+G83</f>
        <v>0</v>
      </c>
      <c r="H71" s="130">
        <f t="shared" si="54"/>
        <v>0</v>
      </c>
      <c r="I71" s="130">
        <f t="shared" si="54"/>
        <v>0</v>
      </c>
      <c r="J71" s="130">
        <f t="shared" si="54"/>
        <v>0</v>
      </c>
      <c r="K71" s="130">
        <f t="shared" si="54"/>
        <v>0</v>
      </c>
      <c r="L71" s="134">
        <f t="shared" si="54"/>
        <v>0</v>
      </c>
      <c r="M71" s="130">
        <f>+M72+M76+M81+M83</f>
        <v>10000</v>
      </c>
      <c r="N71" s="130">
        <f>+N72+N76+N81+N83</f>
        <v>10000</v>
      </c>
    </row>
    <row r="72" spans="1:14" hidden="1" x14ac:dyDescent="0.25">
      <c r="A72" s="128">
        <v>31</v>
      </c>
      <c r="B72" s="129" t="s">
        <v>42</v>
      </c>
      <c r="C72" s="130">
        <f>SUM(C73:C75)</f>
        <v>0</v>
      </c>
      <c r="D72" s="130">
        <f>SUM(D73:D75)</f>
        <v>0</v>
      </c>
      <c r="E72" s="130">
        <f>SUM(E73:E75)</f>
        <v>0</v>
      </c>
      <c r="F72" s="130">
        <f t="shared" ref="F72:L72" si="55">SUM(F73:F75)</f>
        <v>0</v>
      </c>
      <c r="G72" s="130">
        <f t="shared" si="55"/>
        <v>0</v>
      </c>
      <c r="H72" s="130">
        <f t="shared" si="55"/>
        <v>0</v>
      </c>
      <c r="I72" s="130">
        <f t="shared" si="55"/>
        <v>0</v>
      </c>
      <c r="J72" s="130">
        <f t="shared" si="55"/>
        <v>0</v>
      </c>
      <c r="K72" s="130">
        <f t="shared" si="55"/>
        <v>0</v>
      </c>
      <c r="L72" s="134">
        <f t="shared" si="55"/>
        <v>0</v>
      </c>
      <c r="M72" s="130">
        <f>SUM(M73:M75)</f>
        <v>0</v>
      </c>
      <c r="N72" s="130">
        <f t="shared" ref="N72" si="56">SUM(N73:N75)</f>
        <v>0</v>
      </c>
    </row>
    <row r="73" spans="1:14" hidden="1" x14ac:dyDescent="0.25">
      <c r="A73" s="131">
        <v>311</v>
      </c>
      <c r="B73" s="132" t="s">
        <v>135</v>
      </c>
      <c r="C73" s="133">
        <f t="shared" ref="C73:C85" si="57">SUM(E73:K73)</f>
        <v>0</v>
      </c>
      <c r="D73" s="133">
        <f t="shared" ref="D73:E76" si="58">SUM(E73:K73)</f>
        <v>0</v>
      </c>
      <c r="E73" s="133">
        <f t="shared" si="58"/>
        <v>0</v>
      </c>
      <c r="F73" s="133"/>
      <c r="G73" s="133"/>
      <c r="H73" s="133"/>
      <c r="I73" s="133"/>
      <c r="J73" s="133"/>
      <c r="K73" s="133"/>
      <c r="L73" s="135"/>
      <c r="M73" s="133">
        <f t="shared" ref="M73:M85" si="59">SUM(N73:N73)</f>
        <v>0</v>
      </c>
      <c r="N73" s="133"/>
    </row>
    <row r="74" spans="1:14" hidden="1" x14ac:dyDescent="0.25">
      <c r="A74" s="131">
        <v>312</v>
      </c>
      <c r="B74" s="132" t="s">
        <v>44</v>
      </c>
      <c r="C74" s="133">
        <f t="shared" si="57"/>
        <v>0</v>
      </c>
      <c r="D74" s="133">
        <f t="shared" si="58"/>
        <v>0</v>
      </c>
      <c r="E74" s="133">
        <f t="shared" si="58"/>
        <v>0</v>
      </c>
      <c r="F74" s="133"/>
      <c r="G74" s="133"/>
      <c r="H74" s="133"/>
      <c r="I74" s="133"/>
      <c r="J74" s="133"/>
      <c r="K74" s="133"/>
      <c r="L74" s="135"/>
      <c r="M74" s="133">
        <f t="shared" si="59"/>
        <v>0</v>
      </c>
      <c r="N74" s="133"/>
    </row>
    <row r="75" spans="1:14" hidden="1" x14ac:dyDescent="0.25">
      <c r="A75" s="131">
        <v>313</v>
      </c>
      <c r="B75" s="132" t="s">
        <v>45</v>
      </c>
      <c r="C75" s="133">
        <f t="shared" si="57"/>
        <v>0</v>
      </c>
      <c r="D75" s="133">
        <f t="shared" si="58"/>
        <v>0</v>
      </c>
      <c r="E75" s="133">
        <f t="shared" si="58"/>
        <v>0</v>
      </c>
      <c r="F75" s="133"/>
      <c r="G75" s="133"/>
      <c r="H75" s="133"/>
      <c r="I75" s="133"/>
      <c r="J75" s="133"/>
      <c r="K75" s="133"/>
      <c r="L75" s="135"/>
      <c r="M75" s="133">
        <f t="shared" si="59"/>
        <v>0</v>
      </c>
      <c r="N75" s="133"/>
    </row>
    <row r="76" spans="1:14" hidden="1" x14ac:dyDescent="0.25">
      <c r="A76" s="128">
        <v>32</v>
      </c>
      <c r="B76" s="129" t="s">
        <v>46</v>
      </c>
      <c r="C76" s="130">
        <f t="shared" si="57"/>
        <v>0</v>
      </c>
      <c r="D76" s="130">
        <f t="shared" si="58"/>
        <v>0</v>
      </c>
      <c r="E76" s="130">
        <f t="shared" si="58"/>
        <v>0</v>
      </c>
      <c r="F76" s="130">
        <f>SUM(F77:F80)</f>
        <v>0</v>
      </c>
      <c r="G76" s="130">
        <f t="shared" ref="G76:L76" si="60">SUM(G77:G80)</f>
        <v>0</v>
      </c>
      <c r="H76" s="130">
        <f t="shared" si="60"/>
        <v>0</v>
      </c>
      <c r="I76" s="130">
        <f t="shared" si="60"/>
        <v>0</v>
      </c>
      <c r="J76" s="130">
        <f t="shared" si="60"/>
        <v>0</v>
      </c>
      <c r="K76" s="130">
        <f t="shared" si="60"/>
        <v>0</v>
      </c>
      <c r="L76" s="134">
        <f t="shared" si="60"/>
        <v>0</v>
      </c>
      <c r="M76" s="130">
        <f t="shared" si="59"/>
        <v>0</v>
      </c>
      <c r="N76" s="130">
        <f>SUM(N77:N80)</f>
        <v>0</v>
      </c>
    </row>
    <row r="77" spans="1:14" hidden="1" x14ac:dyDescent="0.25">
      <c r="A77" s="131">
        <v>321</v>
      </c>
      <c r="B77" s="132" t="s">
        <v>47</v>
      </c>
      <c r="C77" s="133">
        <f t="shared" si="57"/>
        <v>0</v>
      </c>
      <c r="D77" s="133">
        <f t="shared" ref="D77:E83" si="61">SUM(E77:K77)</f>
        <v>0</v>
      </c>
      <c r="E77" s="133">
        <f t="shared" si="61"/>
        <v>0</v>
      </c>
      <c r="F77" s="133"/>
      <c r="G77" s="133"/>
      <c r="H77" s="133"/>
      <c r="I77" s="133"/>
      <c r="J77" s="133"/>
      <c r="K77" s="133"/>
      <c r="L77" s="135"/>
      <c r="M77" s="133">
        <f t="shared" si="59"/>
        <v>0</v>
      </c>
      <c r="N77" s="133"/>
    </row>
    <row r="78" spans="1:14" hidden="1" x14ac:dyDescent="0.25">
      <c r="A78" s="131">
        <v>322</v>
      </c>
      <c r="B78" s="132" t="s">
        <v>48</v>
      </c>
      <c r="C78" s="133">
        <f t="shared" si="57"/>
        <v>0</v>
      </c>
      <c r="D78" s="133">
        <f t="shared" si="61"/>
        <v>0</v>
      </c>
      <c r="E78" s="133">
        <f t="shared" si="61"/>
        <v>0</v>
      </c>
      <c r="F78" s="133"/>
      <c r="G78" s="133"/>
      <c r="H78" s="133"/>
      <c r="I78" s="133"/>
      <c r="J78" s="133"/>
      <c r="K78" s="133"/>
      <c r="L78" s="135"/>
      <c r="M78" s="133">
        <f t="shared" si="59"/>
        <v>0</v>
      </c>
      <c r="N78" s="133"/>
    </row>
    <row r="79" spans="1:14" hidden="1" x14ac:dyDescent="0.25">
      <c r="A79" s="131">
        <v>323</v>
      </c>
      <c r="B79" s="132" t="s">
        <v>49</v>
      </c>
      <c r="C79" s="133">
        <f t="shared" si="57"/>
        <v>0</v>
      </c>
      <c r="D79" s="133">
        <f t="shared" si="61"/>
        <v>0</v>
      </c>
      <c r="E79" s="133">
        <f t="shared" si="61"/>
        <v>0</v>
      </c>
      <c r="F79" s="133"/>
      <c r="G79" s="133"/>
      <c r="H79" s="133"/>
      <c r="I79" s="133"/>
      <c r="J79" s="133"/>
      <c r="K79" s="133"/>
      <c r="L79" s="135"/>
      <c r="M79" s="133">
        <f t="shared" si="59"/>
        <v>0</v>
      </c>
      <c r="N79" s="133"/>
    </row>
    <row r="80" spans="1:14" hidden="1" x14ac:dyDescent="0.25">
      <c r="A80" s="131">
        <v>329</v>
      </c>
      <c r="B80" s="132" t="s">
        <v>50</v>
      </c>
      <c r="C80" s="133">
        <f t="shared" si="57"/>
        <v>0</v>
      </c>
      <c r="D80" s="133">
        <f t="shared" si="61"/>
        <v>0</v>
      </c>
      <c r="E80" s="133">
        <f t="shared" si="61"/>
        <v>0</v>
      </c>
      <c r="F80" s="133"/>
      <c r="G80" s="133"/>
      <c r="H80" s="133"/>
      <c r="I80" s="133"/>
      <c r="J80" s="133"/>
      <c r="K80" s="133"/>
      <c r="L80" s="135"/>
      <c r="M80" s="133">
        <f t="shared" si="59"/>
        <v>0</v>
      </c>
      <c r="N80" s="133"/>
    </row>
    <row r="81" spans="1:14" hidden="1" x14ac:dyDescent="0.25">
      <c r="A81" s="128">
        <v>34</v>
      </c>
      <c r="B81" s="129" t="s">
        <v>136</v>
      </c>
      <c r="C81" s="130">
        <f t="shared" si="57"/>
        <v>0</v>
      </c>
      <c r="D81" s="130">
        <f t="shared" si="61"/>
        <v>0</v>
      </c>
      <c r="E81" s="130">
        <f t="shared" si="61"/>
        <v>0</v>
      </c>
      <c r="F81" s="130">
        <f t="shared" ref="F81:N81" si="62">+F82</f>
        <v>0</v>
      </c>
      <c r="G81" s="130">
        <f t="shared" si="62"/>
        <v>0</v>
      </c>
      <c r="H81" s="130">
        <f t="shared" si="62"/>
        <v>0</v>
      </c>
      <c r="I81" s="130">
        <f t="shared" si="62"/>
        <v>0</v>
      </c>
      <c r="J81" s="130">
        <f t="shared" si="62"/>
        <v>0</v>
      </c>
      <c r="K81" s="130">
        <f t="shared" si="62"/>
        <v>0</v>
      </c>
      <c r="L81" s="134">
        <f t="shared" si="62"/>
        <v>0</v>
      </c>
      <c r="M81" s="130">
        <f t="shared" si="59"/>
        <v>0</v>
      </c>
      <c r="N81" s="130">
        <f t="shared" si="62"/>
        <v>0</v>
      </c>
    </row>
    <row r="82" spans="1:14" hidden="1" x14ac:dyDescent="0.25">
      <c r="A82" s="131">
        <v>343</v>
      </c>
      <c r="B82" s="132" t="s">
        <v>52</v>
      </c>
      <c r="C82" s="133">
        <f t="shared" si="57"/>
        <v>0</v>
      </c>
      <c r="D82" s="133">
        <f t="shared" si="61"/>
        <v>0</v>
      </c>
      <c r="E82" s="133">
        <f t="shared" si="61"/>
        <v>0</v>
      </c>
      <c r="F82" s="133"/>
      <c r="G82" s="133"/>
      <c r="H82" s="133"/>
      <c r="I82" s="133"/>
      <c r="J82" s="133"/>
      <c r="K82" s="133"/>
      <c r="L82" s="135"/>
      <c r="M82" s="133">
        <f t="shared" si="59"/>
        <v>0</v>
      </c>
      <c r="N82" s="133"/>
    </row>
    <row r="83" spans="1:14" ht="26.25" hidden="1" x14ac:dyDescent="0.25">
      <c r="A83" s="128">
        <v>37</v>
      </c>
      <c r="B83" s="129" t="s">
        <v>137</v>
      </c>
      <c r="C83" s="130">
        <f t="shared" si="57"/>
        <v>20000</v>
      </c>
      <c r="D83" s="130">
        <f t="shared" si="61"/>
        <v>20000</v>
      </c>
      <c r="E83" s="130">
        <f t="shared" si="61"/>
        <v>10000</v>
      </c>
      <c r="F83" s="130">
        <f t="shared" ref="F83:N83" si="63">+F84</f>
        <v>10000</v>
      </c>
      <c r="G83" s="130">
        <f t="shared" si="63"/>
        <v>0</v>
      </c>
      <c r="H83" s="130">
        <f t="shared" si="63"/>
        <v>0</v>
      </c>
      <c r="I83" s="130">
        <f t="shared" si="63"/>
        <v>0</v>
      </c>
      <c r="J83" s="130">
        <f t="shared" si="63"/>
        <v>0</v>
      </c>
      <c r="K83" s="130">
        <f t="shared" si="63"/>
        <v>0</v>
      </c>
      <c r="L83" s="134">
        <f t="shared" si="63"/>
        <v>0</v>
      </c>
      <c r="M83" s="130">
        <f t="shared" si="59"/>
        <v>10000</v>
      </c>
      <c r="N83" s="130">
        <f t="shared" si="63"/>
        <v>10000</v>
      </c>
    </row>
    <row r="84" spans="1:14" hidden="1" x14ac:dyDescent="0.25">
      <c r="A84" s="131">
        <v>372</v>
      </c>
      <c r="B84" s="132" t="s">
        <v>54</v>
      </c>
      <c r="C84" s="133">
        <f t="shared" si="57"/>
        <v>20000</v>
      </c>
      <c r="D84" s="133">
        <f>SUM(E84:K84)</f>
        <v>20000</v>
      </c>
      <c r="E84" s="133">
        <f>SUM(F84:L84)</f>
        <v>10000</v>
      </c>
      <c r="F84" s="133">
        <v>10000</v>
      </c>
      <c r="G84" s="133"/>
      <c r="H84" s="133"/>
      <c r="I84" s="133"/>
      <c r="J84" s="133"/>
      <c r="K84" s="133"/>
      <c r="L84" s="135"/>
      <c r="M84" s="133">
        <f t="shared" si="59"/>
        <v>10000</v>
      </c>
      <c r="N84" s="133">
        <v>10000</v>
      </c>
    </row>
    <row r="85" spans="1:14" hidden="1" x14ac:dyDescent="0.25">
      <c r="A85" s="128">
        <v>4</v>
      </c>
      <c r="B85" s="129" t="s">
        <v>138</v>
      </c>
      <c r="C85" s="130">
        <f t="shared" si="57"/>
        <v>0</v>
      </c>
      <c r="D85" s="130">
        <f>SUM(E85:K85)</f>
        <v>0</v>
      </c>
      <c r="E85" s="130">
        <f>SUM(F85:L85)</f>
        <v>0</v>
      </c>
      <c r="F85" s="130">
        <f>+F88+F86</f>
        <v>0</v>
      </c>
      <c r="G85" s="130">
        <f t="shared" ref="G85:L85" si="64">+G88+G86</f>
        <v>0</v>
      </c>
      <c r="H85" s="130">
        <f t="shared" si="64"/>
        <v>0</v>
      </c>
      <c r="I85" s="130">
        <f t="shared" si="64"/>
        <v>0</v>
      </c>
      <c r="J85" s="130">
        <f t="shared" si="64"/>
        <v>0</v>
      </c>
      <c r="K85" s="130">
        <f t="shared" si="64"/>
        <v>0</v>
      </c>
      <c r="L85" s="134">
        <f t="shared" si="64"/>
        <v>0</v>
      </c>
      <c r="M85" s="130">
        <f t="shared" si="59"/>
        <v>0</v>
      </c>
      <c r="N85" s="130">
        <f>+N88+N86</f>
        <v>0</v>
      </c>
    </row>
    <row r="86" spans="1:14" hidden="1" x14ac:dyDescent="0.25">
      <c r="A86" s="128">
        <v>41</v>
      </c>
      <c r="B86" s="129" t="s">
        <v>139</v>
      </c>
      <c r="C86" s="130">
        <f>+C87</f>
        <v>0</v>
      </c>
      <c r="D86" s="130">
        <f>+D87</f>
        <v>0</v>
      </c>
      <c r="E86" s="130">
        <f>+E87</f>
        <v>0</v>
      </c>
      <c r="F86" s="130">
        <f t="shared" ref="F86:N86" si="65">+F87</f>
        <v>0</v>
      </c>
      <c r="G86" s="130">
        <f t="shared" si="65"/>
        <v>0</v>
      </c>
      <c r="H86" s="130">
        <f t="shared" si="65"/>
        <v>0</v>
      </c>
      <c r="I86" s="130">
        <f t="shared" si="65"/>
        <v>0</v>
      </c>
      <c r="J86" s="130">
        <f t="shared" si="65"/>
        <v>0</v>
      </c>
      <c r="K86" s="130">
        <f t="shared" si="65"/>
        <v>0</v>
      </c>
      <c r="L86" s="134">
        <f t="shared" si="65"/>
        <v>0</v>
      </c>
      <c r="M86" s="130">
        <f>+M87</f>
        <v>0</v>
      </c>
      <c r="N86" s="130">
        <f t="shared" si="65"/>
        <v>0</v>
      </c>
    </row>
    <row r="87" spans="1:14" hidden="1" x14ac:dyDescent="0.25">
      <c r="A87" s="131">
        <v>412</v>
      </c>
      <c r="B87" s="132" t="s">
        <v>57</v>
      </c>
      <c r="C87" s="133">
        <f>SUM(E87:K87)</f>
        <v>0</v>
      </c>
      <c r="D87" s="133">
        <f t="shared" ref="D87:E90" si="66">SUM(E87:K87)</f>
        <v>0</v>
      </c>
      <c r="E87" s="133">
        <f t="shared" si="66"/>
        <v>0</v>
      </c>
      <c r="F87" s="133"/>
      <c r="G87" s="133"/>
      <c r="H87" s="133"/>
      <c r="I87" s="133"/>
      <c r="J87" s="133"/>
      <c r="K87" s="133"/>
      <c r="L87" s="135"/>
      <c r="M87" s="133">
        <f>SUM(N87:N87)</f>
        <v>0</v>
      </c>
      <c r="N87" s="133"/>
    </row>
    <row r="88" spans="1:14" hidden="1" x14ac:dyDescent="0.25">
      <c r="A88" s="128">
        <v>42</v>
      </c>
      <c r="B88" s="129" t="s">
        <v>140</v>
      </c>
      <c r="C88" s="130">
        <f>SUM(E88:K88)</f>
        <v>0</v>
      </c>
      <c r="D88" s="130">
        <f t="shared" si="66"/>
        <v>0</v>
      </c>
      <c r="E88" s="130">
        <f t="shared" si="66"/>
        <v>0</v>
      </c>
      <c r="F88" s="130">
        <f t="shared" ref="F88:L88" si="67">+F89+F90</f>
        <v>0</v>
      </c>
      <c r="G88" s="130">
        <f t="shared" si="67"/>
        <v>0</v>
      </c>
      <c r="H88" s="130">
        <f t="shared" si="67"/>
        <v>0</v>
      </c>
      <c r="I88" s="130">
        <f t="shared" si="67"/>
        <v>0</v>
      </c>
      <c r="J88" s="130">
        <f t="shared" si="67"/>
        <v>0</v>
      </c>
      <c r="K88" s="130">
        <f t="shared" si="67"/>
        <v>0</v>
      </c>
      <c r="L88" s="134">
        <f t="shared" si="67"/>
        <v>0</v>
      </c>
      <c r="M88" s="130">
        <f>SUM(N88:N88)</f>
        <v>0</v>
      </c>
      <c r="N88" s="130">
        <f t="shared" ref="N88" si="68">+N89+N90</f>
        <v>0</v>
      </c>
    </row>
    <row r="89" spans="1:14" hidden="1" x14ac:dyDescent="0.25">
      <c r="A89" s="131">
        <v>422</v>
      </c>
      <c r="B89" s="132" t="s">
        <v>59</v>
      </c>
      <c r="C89" s="133">
        <f>SUM(E89:K89)</f>
        <v>0</v>
      </c>
      <c r="D89" s="133">
        <f t="shared" si="66"/>
        <v>0</v>
      </c>
      <c r="E89" s="133">
        <f t="shared" si="66"/>
        <v>0</v>
      </c>
      <c r="F89" s="133"/>
      <c r="G89" s="133"/>
      <c r="H89" s="133"/>
      <c r="I89" s="133"/>
      <c r="J89" s="133"/>
      <c r="K89" s="133"/>
      <c r="L89" s="135"/>
      <c r="M89" s="133">
        <f>SUM(N89:N89)</f>
        <v>0</v>
      </c>
      <c r="N89" s="133"/>
    </row>
    <row r="90" spans="1:14" hidden="1" x14ac:dyDescent="0.25">
      <c r="A90" s="131">
        <v>424</v>
      </c>
      <c r="B90" s="132" t="s">
        <v>141</v>
      </c>
      <c r="C90" s="133">
        <f>SUM(E90:K90)</f>
        <v>0</v>
      </c>
      <c r="D90" s="133">
        <f t="shared" si="66"/>
        <v>0</v>
      </c>
      <c r="E90" s="133">
        <f t="shared" si="66"/>
        <v>0</v>
      </c>
      <c r="F90" s="133"/>
      <c r="G90" s="133"/>
      <c r="H90" s="133"/>
      <c r="I90" s="133"/>
      <c r="J90" s="133"/>
      <c r="K90" s="133"/>
      <c r="L90" s="135"/>
      <c r="M90" s="133">
        <f>SUM(N90:N90)</f>
        <v>0</v>
      </c>
      <c r="N90" s="133"/>
    </row>
    <row r="91" spans="1:14" ht="26.25" hidden="1" x14ac:dyDescent="0.25">
      <c r="A91" s="123" t="s">
        <v>150</v>
      </c>
      <c r="B91" s="123" t="s">
        <v>151</v>
      </c>
      <c r="C91" s="124">
        <f>+C92</f>
        <v>147200</v>
      </c>
      <c r="D91" s="124">
        <f>+D92</f>
        <v>147200</v>
      </c>
      <c r="E91" s="124">
        <f>+E92</f>
        <v>73600</v>
      </c>
      <c r="F91" s="124">
        <f t="shared" ref="F91:N91" si="69">+F92</f>
        <v>73600</v>
      </c>
      <c r="G91" s="124">
        <f t="shared" si="69"/>
        <v>0</v>
      </c>
      <c r="H91" s="124">
        <f t="shared" si="69"/>
        <v>0</v>
      </c>
      <c r="I91" s="124">
        <f t="shared" si="69"/>
        <v>0</v>
      </c>
      <c r="J91" s="124">
        <f t="shared" si="69"/>
        <v>0</v>
      </c>
      <c r="K91" s="124">
        <f t="shared" si="69"/>
        <v>0</v>
      </c>
      <c r="L91" s="124">
        <f t="shared" si="69"/>
        <v>0</v>
      </c>
      <c r="M91" s="124">
        <f>+M92</f>
        <v>73600</v>
      </c>
      <c r="N91" s="124">
        <f t="shared" si="69"/>
        <v>73600</v>
      </c>
    </row>
    <row r="92" spans="1:14" hidden="1" x14ac:dyDescent="0.25">
      <c r="A92" s="125" t="s">
        <v>152</v>
      </c>
      <c r="B92" s="126" t="s">
        <v>153</v>
      </c>
      <c r="C92" s="127">
        <f t="shared" ref="C92:D92" si="70">+C93+C107</f>
        <v>147200</v>
      </c>
      <c r="D92" s="127">
        <f t="shared" si="70"/>
        <v>147200</v>
      </c>
      <c r="E92" s="127">
        <f t="shared" ref="E92:L92" si="71">+E93+E107</f>
        <v>73600</v>
      </c>
      <c r="F92" s="127">
        <f t="shared" si="71"/>
        <v>73600</v>
      </c>
      <c r="G92" s="127">
        <f t="shared" si="71"/>
        <v>0</v>
      </c>
      <c r="H92" s="127">
        <f t="shared" si="71"/>
        <v>0</v>
      </c>
      <c r="I92" s="127">
        <f t="shared" si="71"/>
        <v>0</v>
      </c>
      <c r="J92" s="127">
        <f t="shared" si="71"/>
        <v>0</v>
      </c>
      <c r="K92" s="127">
        <f t="shared" si="71"/>
        <v>0</v>
      </c>
      <c r="L92" s="127">
        <f t="shared" si="71"/>
        <v>0</v>
      </c>
      <c r="M92" s="127">
        <f t="shared" ref="M92:N92" si="72">+M93+M107</f>
        <v>73600</v>
      </c>
      <c r="N92" s="127">
        <f t="shared" si="72"/>
        <v>73600</v>
      </c>
    </row>
    <row r="93" spans="1:14" hidden="1" x14ac:dyDescent="0.25">
      <c r="A93" s="128">
        <v>3</v>
      </c>
      <c r="B93" s="129" t="s">
        <v>41</v>
      </c>
      <c r="C93" s="130">
        <f>+C94+C98+C103+C105</f>
        <v>91200</v>
      </c>
      <c r="D93" s="130">
        <f>+D94+D98+D103+D105</f>
        <v>91200</v>
      </c>
      <c r="E93" s="130">
        <f>+E94+E98+E103+E105</f>
        <v>45600</v>
      </c>
      <c r="F93" s="130">
        <f>+F94+F98+F103+F105</f>
        <v>45600</v>
      </c>
      <c r="G93" s="130">
        <f t="shared" ref="G93:L93" si="73">+G94+G98+G103+G105</f>
        <v>0</v>
      </c>
      <c r="H93" s="130">
        <f t="shared" si="73"/>
        <v>0</v>
      </c>
      <c r="I93" s="130">
        <f t="shared" si="73"/>
        <v>0</v>
      </c>
      <c r="J93" s="130">
        <f t="shared" si="73"/>
        <v>0</v>
      </c>
      <c r="K93" s="130">
        <f t="shared" si="73"/>
        <v>0</v>
      </c>
      <c r="L93" s="134">
        <f t="shared" si="73"/>
        <v>0</v>
      </c>
      <c r="M93" s="130">
        <f>+M94+M98+M103+M105</f>
        <v>45600</v>
      </c>
      <c r="N93" s="130">
        <f>+N94+N98+N103+N105</f>
        <v>45600</v>
      </c>
    </row>
    <row r="94" spans="1:14" hidden="1" x14ac:dyDescent="0.25">
      <c r="A94" s="128">
        <v>31</v>
      </c>
      <c r="B94" s="129" t="s">
        <v>42</v>
      </c>
      <c r="C94" s="130">
        <f>SUM(C95:C97)</f>
        <v>0</v>
      </c>
      <c r="D94" s="130">
        <f>SUM(D95:D97)</f>
        <v>0</v>
      </c>
      <c r="E94" s="130">
        <f>SUM(E95:E97)</f>
        <v>0</v>
      </c>
      <c r="F94" s="130">
        <f t="shared" ref="F94:L94" si="74">SUM(F95:F97)</f>
        <v>0</v>
      </c>
      <c r="G94" s="130">
        <f t="shared" si="74"/>
        <v>0</v>
      </c>
      <c r="H94" s="130">
        <f t="shared" si="74"/>
        <v>0</v>
      </c>
      <c r="I94" s="130">
        <f t="shared" si="74"/>
        <v>0</v>
      </c>
      <c r="J94" s="130">
        <f t="shared" si="74"/>
        <v>0</v>
      </c>
      <c r="K94" s="130">
        <f t="shared" si="74"/>
        <v>0</v>
      </c>
      <c r="L94" s="134">
        <f t="shared" si="74"/>
        <v>0</v>
      </c>
      <c r="M94" s="130">
        <f>SUM(M95:M97)</f>
        <v>0</v>
      </c>
      <c r="N94" s="130">
        <f t="shared" ref="N94" si="75">SUM(N95:N97)</f>
        <v>0</v>
      </c>
    </row>
    <row r="95" spans="1:14" hidden="1" x14ac:dyDescent="0.25">
      <c r="A95" s="131">
        <v>311</v>
      </c>
      <c r="B95" s="132" t="s">
        <v>135</v>
      </c>
      <c r="C95" s="133">
        <f t="shared" ref="C95:C107" si="76">SUM(E95:K95)</f>
        <v>0</v>
      </c>
      <c r="D95" s="133">
        <f t="shared" ref="D95:E98" si="77">SUM(E95:K95)</f>
        <v>0</v>
      </c>
      <c r="E95" s="133">
        <f t="shared" si="77"/>
        <v>0</v>
      </c>
      <c r="F95" s="133"/>
      <c r="G95" s="133"/>
      <c r="H95" s="133"/>
      <c r="I95" s="133"/>
      <c r="J95" s="133"/>
      <c r="K95" s="133"/>
      <c r="L95" s="135"/>
      <c r="M95" s="133">
        <f t="shared" ref="M95:M107" si="78">SUM(N95:N95)</f>
        <v>0</v>
      </c>
      <c r="N95" s="133"/>
    </row>
    <row r="96" spans="1:14" hidden="1" x14ac:dyDescent="0.25">
      <c r="A96" s="131">
        <v>312</v>
      </c>
      <c r="B96" s="132" t="s">
        <v>44</v>
      </c>
      <c r="C96" s="133">
        <f t="shared" si="76"/>
        <v>0</v>
      </c>
      <c r="D96" s="133">
        <f t="shared" si="77"/>
        <v>0</v>
      </c>
      <c r="E96" s="133">
        <f t="shared" si="77"/>
        <v>0</v>
      </c>
      <c r="F96" s="133"/>
      <c r="G96" s="133"/>
      <c r="H96" s="133"/>
      <c r="I96" s="133"/>
      <c r="J96" s="133"/>
      <c r="K96" s="133"/>
      <c r="L96" s="135"/>
      <c r="M96" s="133">
        <f t="shared" si="78"/>
        <v>0</v>
      </c>
      <c r="N96" s="133"/>
    </row>
    <row r="97" spans="1:14" hidden="1" x14ac:dyDescent="0.25">
      <c r="A97" s="131">
        <v>313</v>
      </c>
      <c r="B97" s="132" t="s">
        <v>45</v>
      </c>
      <c r="C97" s="133">
        <f t="shared" si="76"/>
        <v>0</v>
      </c>
      <c r="D97" s="133">
        <f t="shared" si="77"/>
        <v>0</v>
      </c>
      <c r="E97" s="133">
        <f t="shared" si="77"/>
        <v>0</v>
      </c>
      <c r="F97" s="133"/>
      <c r="G97" s="133"/>
      <c r="H97" s="133"/>
      <c r="I97" s="133"/>
      <c r="J97" s="133"/>
      <c r="K97" s="133"/>
      <c r="L97" s="135"/>
      <c r="M97" s="133">
        <f t="shared" si="78"/>
        <v>0</v>
      </c>
      <c r="N97" s="133"/>
    </row>
    <row r="98" spans="1:14" hidden="1" x14ac:dyDescent="0.25">
      <c r="A98" s="128">
        <v>32</v>
      </c>
      <c r="B98" s="129" t="s">
        <v>46</v>
      </c>
      <c r="C98" s="130">
        <f t="shared" si="76"/>
        <v>74200</v>
      </c>
      <c r="D98" s="130">
        <f t="shared" si="77"/>
        <v>74200</v>
      </c>
      <c r="E98" s="130">
        <f t="shared" si="77"/>
        <v>37100</v>
      </c>
      <c r="F98" s="130">
        <f>SUM(F99:F102)</f>
        <v>37100</v>
      </c>
      <c r="G98" s="130">
        <f t="shared" ref="G98:L98" si="79">SUM(G99:G102)</f>
        <v>0</v>
      </c>
      <c r="H98" s="130">
        <f t="shared" si="79"/>
        <v>0</v>
      </c>
      <c r="I98" s="130">
        <f t="shared" si="79"/>
        <v>0</v>
      </c>
      <c r="J98" s="130">
        <f t="shared" si="79"/>
        <v>0</v>
      </c>
      <c r="K98" s="130">
        <f t="shared" si="79"/>
        <v>0</v>
      </c>
      <c r="L98" s="134">
        <f t="shared" si="79"/>
        <v>0</v>
      </c>
      <c r="M98" s="130">
        <f t="shared" si="78"/>
        <v>37100</v>
      </c>
      <c r="N98" s="130">
        <f>SUM(N99:N102)</f>
        <v>37100</v>
      </c>
    </row>
    <row r="99" spans="1:14" hidden="1" x14ac:dyDescent="0.25">
      <c r="A99" s="131">
        <v>321</v>
      </c>
      <c r="B99" s="132" t="s">
        <v>47</v>
      </c>
      <c r="C99" s="133">
        <f t="shared" si="76"/>
        <v>64000</v>
      </c>
      <c r="D99" s="133">
        <f t="shared" ref="D99:E106" si="80">SUM(E99:K99)</f>
        <v>64000</v>
      </c>
      <c r="E99" s="133">
        <f t="shared" si="80"/>
        <v>32000</v>
      </c>
      <c r="F99" s="133">
        <f>14000+5000+13000</f>
        <v>32000</v>
      </c>
      <c r="G99" s="133"/>
      <c r="H99" s="133"/>
      <c r="I99" s="133"/>
      <c r="J99" s="133"/>
      <c r="K99" s="133"/>
      <c r="L99" s="135"/>
      <c r="M99" s="133">
        <f t="shared" si="78"/>
        <v>32000</v>
      </c>
      <c r="N99" s="133">
        <f>14000+5000+13000</f>
        <v>32000</v>
      </c>
    </row>
    <row r="100" spans="1:14" hidden="1" x14ac:dyDescent="0.25">
      <c r="A100" s="131">
        <v>322</v>
      </c>
      <c r="B100" s="132" t="s">
        <v>48</v>
      </c>
      <c r="C100" s="133">
        <f t="shared" si="76"/>
        <v>10200</v>
      </c>
      <c r="D100" s="133">
        <f t="shared" si="80"/>
        <v>10200</v>
      </c>
      <c r="E100" s="133">
        <f t="shared" si="80"/>
        <v>5100</v>
      </c>
      <c r="F100" s="133">
        <v>5100</v>
      </c>
      <c r="G100" s="133"/>
      <c r="H100" s="133"/>
      <c r="I100" s="133"/>
      <c r="J100" s="133"/>
      <c r="K100" s="133"/>
      <c r="L100" s="135"/>
      <c r="M100" s="133">
        <f t="shared" si="78"/>
        <v>5100</v>
      </c>
      <c r="N100" s="133">
        <v>5100</v>
      </c>
    </row>
    <row r="101" spans="1:14" hidden="1" x14ac:dyDescent="0.25">
      <c r="A101" s="131">
        <v>323</v>
      </c>
      <c r="B101" s="132" t="s">
        <v>49</v>
      </c>
      <c r="C101" s="133">
        <f t="shared" si="76"/>
        <v>0</v>
      </c>
      <c r="D101" s="133">
        <f t="shared" si="80"/>
        <v>0</v>
      </c>
      <c r="E101" s="133">
        <f t="shared" si="80"/>
        <v>0</v>
      </c>
      <c r="F101" s="133"/>
      <c r="G101" s="133"/>
      <c r="H101" s="133"/>
      <c r="I101" s="133"/>
      <c r="J101" s="133"/>
      <c r="K101" s="133"/>
      <c r="L101" s="135"/>
      <c r="M101" s="133">
        <f t="shared" si="78"/>
        <v>0</v>
      </c>
      <c r="N101" s="133"/>
    </row>
    <row r="102" spans="1:14" hidden="1" x14ac:dyDescent="0.25">
      <c r="A102" s="131">
        <v>329</v>
      </c>
      <c r="B102" s="132" t="s">
        <v>50</v>
      </c>
      <c r="C102" s="133">
        <f t="shared" si="76"/>
        <v>0</v>
      </c>
      <c r="D102" s="133">
        <f t="shared" si="80"/>
        <v>0</v>
      </c>
      <c r="E102" s="133">
        <f t="shared" si="80"/>
        <v>0</v>
      </c>
      <c r="F102" s="133"/>
      <c r="G102" s="133"/>
      <c r="H102" s="133"/>
      <c r="I102" s="133"/>
      <c r="J102" s="133"/>
      <c r="K102" s="133"/>
      <c r="L102" s="135"/>
      <c r="M102" s="133">
        <f t="shared" si="78"/>
        <v>0</v>
      </c>
      <c r="N102" s="133"/>
    </row>
    <row r="103" spans="1:14" hidden="1" x14ac:dyDescent="0.25">
      <c r="A103" s="128">
        <v>34</v>
      </c>
      <c r="B103" s="129" t="s">
        <v>136</v>
      </c>
      <c r="C103" s="130">
        <f t="shared" si="76"/>
        <v>0</v>
      </c>
      <c r="D103" s="130">
        <f t="shared" si="80"/>
        <v>0</v>
      </c>
      <c r="E103" s="130">
        <f t="shared" si="80"/>
        <v>0</v>
      </c>
      <c r="F103" s="130">
        <f t="shared" ref="F103:N103" si="81">+F104</f>
        <v>0</v>
      </c>
      <c r="G103" s="130">
        <f t="shared" si="81"/>
        <v>0</v>
      </c>
      <c r="H103" s="130">
        <f t="shared" si="81"/>
        <v>0</v>
      </c>
      <c r="I103" s="130">
        <f t="shared" si="81"/>
        <v>0</v>
      </c>
      <c r="J103" s="130">
        <f t="shared" si="81"/>
        <v>0</v>
      </c>
      <c r="K103" s="130">
        <f t="shared" si="81"/>
        <v>0</v>
      </c>
      <c r="L103" s="134">
        <f t="shared" si="81"/>
        <v>0</v>
      </c>
      <c r="M103" s="130">
        <f t="shared" si="78"/>
        <v>0</v>
      </c>
      <c r="N103" s="130">
        <f t="shared" si="81"/>
        <v>0</v>
      </c>
    </row>
    <row r="104" spans="1:14" hidden="1" x14ac:dyDescent="0.25">
      <c r="A104" s="131">
        <v>343</v>
      </c>
      <c r="B104" s="132" t="s">
        <v>52</v>
      </c>
      <c r="C104" s="133">
        <f t="shared" si="76"/>
        <v>0</v>
      </c>
      <c r="D104" s="133">
        <f t="shared" si="80"/>
        <v>0</v>
      </c>
      <c r="E104" s="133">
        <f t="shared" si="80"/>
        <v>0</v>
      </c>
      <c r="F104" s="133"/>
      <c r="G104" s="133"/>
      <c r="H104" s="133"/>
      <c r="I104" s="133"/>
      <c r="J104" s="133"/>
      <c r="K104" s="133"/>
      <c r="L104" s="135"/>
      <c r="M104" s="133">
        <f t="shared" si="78"/>
        <v>0</v>
      </c>
      <c r="N104" s="133"/>
    </row>
    <row r="105" spans="1:14" ht="26.25" hidden="1" x14ac:dyDescent="0.25">
      <c r="A105" s="128">
        <v>37</v>
      </c>
      <c r="B105" s="129" t="s">
        <v>137</v>
      </c>
      <c r="C105" s="130">
        <f t="shared" si="76"/>
        <v>17000</v>
      </c>
      <c r="D105" s="130">
        <f t="shared" si="80"/>
        <v>17000</v>
      </c>
      <c r="E105" s="130">
        <f t="shared" si="80"/>
        <v>8500</v>
      </c>
      <c r="F105" s="130">
        <f t="shared" ref="F105:N105" si="82">+F106</f>
        <v>8500</v>
      </c>
      <c r="G105" s="130">
        <f t="shared" si="82"/>
        <v>0</v>
      </c>
      <c r="H105" s="130">
        <f t="shared" si="82"/>
        <v>0</v>
      </c>
      <c r="I105" s="130">
        <f t="shared" si="82"/>
        <v>0</v>
      </c>
      <c r="J105" s="130">
        <f t="shared" si="82"/>
        <v>0</v>
      </c>
      <c r="K105" s="130">
        <f t="shared" si="82"/>
        <v>0</v>
      </c>
      <c r="L105" s="134">
        <f t="shared" si="82"/>
        <v>0</v>
      </c>
      <c r="M105" s="130">
        <f t="shared" si="78"/>
        <v>8500</v>
      </c>
      <c r="N105" s="130">
        <f t="shared" si="82"/>
        <v>8500</v>
      </c>
    </row>
    <row r="106" spans="1:14" hidden="1" x14ac:dyDescent="0.25">
      <c r="A106" s="131">
        <v>372</v>
      </c>
      <c r="B106" s="132" t="s">
        <v>54</v>
      </c>
      <c r="C106" s="133">
        <f t="shared" si="76"/>
        <v>17000</v>
      </c>
      <c r="D106" s="133">
        <f t="shared" si="80"/>
        <v>17000</v>
      </c>
      <c r="E106" s="133">
        <f t="shared" si="80"/>
        <v>8500</v>
      </c>
      <c r="F106" s="133">
        <v>8500</v>
      </c>
      <c r="G106" s="133"/>
      <c r="H106" s="133"/>
      <c r="I106" s="133"/>
      <c r="J106" s="133"/>
      <c r="K106" s="133"/>
      <c r="L106" s="135"/>
      <c r="M106" s="133">
        <f t="shared" si="78"/>
        <v>8500</v>
      </c>
      <c r="N106" s="133">
        <v>8500</v>
      </c>
    </row>
    <row r="107" spans="1:14" hidden="1" x14ac:dyDescent="0.25">
      <c r="A107" s="128">
        <v>4</v>
      </c>
      <c r="B107" s="129" t="s">
        <v>138</v>
      </c>
      <c r="C107" s="130">
        <f t="shared" si="76"/>
        <v>56000</v>
      </c>
      <c r="D107" s="130">
        <f>SUM(E107:K107)</f>
        <v>56000</v>
      </c>
      <c r="E107" s="130">
        <f>SUM(F107:L107)</f>
        <v>28000</v>
      </c>
      <c r="F107" s="130">
        <f>+F110+F108</f>
        <v>28000</v>
      </c>
      <c r="G107" s="130">
        <f t="shared" ref="G107:L107" si="83">+G110+G108</f>
        <v>0</v>
      </c>
      <c r="H107" s="130">
        <f t="shared" si="83"/>
        <v>0</v>
      </c>
      <c r="I107" s="130">
        <f t="shared" si="83"/>
        <v>0</v>
      </c>
      <c r="J107" s="130">
        <f t="shared" si="83"/>
        <v>0</v>
      </c>
      <c r="K107" s="130">
        <f t="shared" si="83"/>
        <v>0</v>
      </c>
      <c r="L107" s="134">
        <f t="shared" si="83"/>
        <v>0</v>
      </c>
      <c r="M107" s="130">
        <f t="shared" si="78"/>
        <v>28000</v>
      </c>
      <c r="N107" s="130">
        <f>+N110+N108</f>
        <v>28000</v>
      </c>
    </row>
    <row r="108" spans="1:14" hidden="1" x14ac:dyDescent="0.25">
      <c r="A108" s="128">
        <v>41</v>
      </c>
      <c r="B108" s="129" t="s">
        <v>139</v>
      </c>
      <c r="C108" s="130">
        <f>+C109</f>
        <v>0</v>
      </c>
      <c r="D108" s="130">
        <f>+D109</f>
        <v>0</v>
      </c>
      <c r="E108" s="130">
        <f>+E109</f>
        <v>0</v>
      </c>
      <c r="F108" s="130">
        <f t="shared" ref="F108:N108" si="84">+F109</f>
        <v>0</v>
      </c>
      <c r="G108" s="130">
        <f t="shared" si="84"/>
        <v>0</v>
      </c>
      <c r="H108" s="130">
        <f t="shared" si="84"/>
        <v>0</v>
      </c>
      <c r="I108" s="130">
        <f t="shared" si="84"/>
        <v>0</v>
      </c>
      <c r="J108" s="130">
        <f t="shared" si="84"/>
        <v>0</v>
      </c>
      <c r="K108" s="130">
        <f t="shared" si="84"/>
        <v>0</v>
      </c>
      <c r="L108" s="134">
        <f t="shared" si="84"/>
        <v>0</v>
      </c>
      <c r="M108" s="130">
        <f>+M109</f>
        <v>0</v>
      </c>
      <c r="N108" s="130">
        <f t="shared" si="84"/>
        <v>0</v>
      </c>
    </row>
    <row r="109" spans="1:14" hidden="1" x14ac:dyDescent="0.25">
      <c r="A109" s="131">
        <v>412</v>
      </c>
      <c r="B109" s="132" t="s">
        <v>57</v>
      </c>
      <c r="C109" s="133">
        <f>SUM(E109:K109)</f>
        <v>0</v>
      </c>
      <c r="D109" s="133">
        <f t="shared" ref="D109:E112" si="85">SUM(E109:K109)</f>
        <v>0</v>
      </c>
      <c r="E109" s="133">
        <f t="shared" si="85"/>
        <v>0</v>
      </c>
      <c r="F109" s="133"/>
      <c r="G109" s="133"/>
      <c r="H109" s="133"/>
      <c r="I109" s="133"/>
      <c r="J109" s="133"/>
      <c r="K109" s="133"/>
      <c r="L109" s="135"/>
      <c r="M109" s="133">
        <f>SUM(N109:N109)</f>
        <v>0</v>
      </c>
      <c r="N109" s="133"/>
    </row>
    <row r="110" spans="1:14" hidden="1" x14ac:dyDescent="0.25">
      <c r="A110" s="128">
        <v>42</v>
      </c>
      <c r="B110" s="129" t="s">
        <v>140</v>
      </c>
      <c r="C110" s="130">
        <f>SUM(E110:K110)</f>
        <v>56000</v>
      </c>
      <c r="D110" s="130">
        <f t="shared" si="85"/>
        <v>56000</v>
      </c>
      <c r="E110" s="130">
        <f t="shared" si="85"/>
        <v>28000</v>
      </c>
      <c r="F110" s="130">
        <f t="shared" ref="F110:L110" si="86">+F111+F112</f>
        <v>28000</v>
      </c>
      <c r="G110" s="130">
        <f t="shared" si="86"/>
        <v>0</v>
      </c>
      <c r="H110" s="130">
        <f t="shared" si="86"/>
        <v>0</v>
      </c>
      <c r="I110" s="130">
        <f t="shared" si="86"/>
        <v>0</v>
      </c>
      <c r="J110" s="130">
        <f t="shared" si="86"/>
        <v>0</v>
      </c>
      <c r="K110" s="130">
        <f t="shared" si="86"/>
        <v>0</v>
      </c>
      <c r="L110" s="134">
        <f t="shared" si="86"/>
        <v>0</v>
      </c>
      <c r="M110" s="130">
        <f>SUM(N110:N110)</f>
        <v>28000</v>
      </c>
      <c r="N110" s="130">
        <f t="shared" ref="N110" si="87">+N111+N112</f>
        <v>28000</v>
      </c>
    </row>
    <row r="111" spans="1:14" hidden="1" x14ac:dyDescent="0.25">
      <c r="A111" s="131">
        <v>422</v>
      </c>
      <c r="B111" s="132" t="s">
        <v>59</v>
      </c>
      <c r="C111" s="133">
        <f>SUM(E111:K111)</f>
        <v>56000</v>
      </c>
      <c r="D111" s="133">
        <f t="shared" si="85"/>
        <v>56000</v>
      </c>
      <c r="E111" s="133">
        <f t="shared" si="85"/>
        <v>28000</v>
      </c>
      <c r="F111" s="133">
        <v>28000</v>
      </c>
      <c r="G111" s="133"/>
      <c r="H111" s="133"/>
      <c r="I111" s="133"/>
      <c r="J111" s="133"/>
      <c r="K111" s="133"/>
      <c r="L111" s="135"/>
      <c r="M111" s="133">
        <f>SUM(N111:N111)</f>
        <v>28000</v>
      </c>
      <c r="N111" s="133">
        <v>28000</v>
      </c>
    </row>
    <row r="112" spans="1:14" hidden="1" x14ac:dyDescent="0.25">
      <c r="A112" s="131">
        <v>424</v>
      </c>
      <c r="B112" s="132" t="s">
        <v>141</v>
      </c>
      <c r="C112" s="133">
        <f>SUM(E112:K112)</f>
        <v>0</v>
      </c>
      <c r="D112" s="133">
        <f t="shared" si="85"/>
        <v>0</v>
      </c>
      <c r="E112" s="133">
        <f t="shared" si="85"/>
        <v>0</v>
      </c>
      <c r="F112" s="133"/>
      <c r="G112" s="133"/>
      <c r="H112" s="133"/>
      <c r="I112" s="133"/>
      <c r="J112" s="133"/>
      <c r="K112" s="133"/>
      <c r="L112" s="135"/>
      <c r="M112" s="133">
        <f>SUM(N112:N112)</f>
        <v>0</v>
      </c>
      <c r="N112" s="133"/>
    </row>
    <row r="113" spans="1:14" hidden="1" x14ac:dyDescent="0.25">
      <c r="A113" s="128"/>
      <c r="B113" s="129"/>
      <c r="C113" s="130"/>
      <c r="D113" s="130"/>
      <c r="E113" s="130"/>
      <c r="F113" s="130"/>
      <c r="G113" s="130"/>
      <c r="H113" s="130"/>
      <c r="I113" s="130"/>
      <c r="J113" s="130"/>
      <c r="K113" s="130"/>
      <c r="L113" s="134"/>
      <c r="M113" s="130"/>
      <c r="N113" s="130"/>
    </row>
    <row r="114" spans="1:14" ht="26.25" hidden="1" x14ac:dyDescent="0.25">
      <c r="A114" s="123" t="s">
        <v>154</v>
      </c>
      <c r="B114" s="123" t="s">
        <v>155</v>
      </c>
      <c r="C114" s="124">
        <f t="shared" ref="C114:D114" si="88">+C115+C131</f>
        <v>15946000</v>
      </c>
      <c r="D114" s="124">
        <f t="shared" si="88"/>
        <v>15946000</v>
      </c>
      <c r="E114" s="124">
        <f t="shared" ref="E114:L114" si="89">+E115+E131</f>
        <v>7973000</v>
      </c>
      <c r="F114" s="124">
        <f t="shared" si="89"/>
        <v>7973000</v>
      </c>
      <c r="G114" s="124">
        <f t="shared" si="89"/>
        <v>0</v>
      </c>
      <c r="H114" s="124">
        <f t="shared" si="89"/>
        <v>0</v>
      </c>
      <c r="I114" s="124">
        <f t="shared" si="89"/>
        <v>0</v>
      </c>
      <c r="J114" s="124">
        <f t="shared" si="89"/>
        <v>0</v>
      </c>
      <c r="K114" s="124">
        <f t="shared" si="89"/>
        <v>0</v>
      </c>
      <c r="L114" s="124">
        <f t="shared" si="89"/>
        <v>0</v>
      </c>
      <c r="M114" s="124">
        <f t="shared" ref="M114:N114" si="90">+M115+M131</f>
        <v>7973000</v>
      </c>
      <c r="N114" s="124">
        <f t="shared" si="90"/>
        <v>7973000</v>
      </c>
    </row>
    <row r="115" spans="1:14" hidden="1" x14ac:dyDescent="0.25">
      <c r="A115" s="125" t="s">
        <v>156</v>
      </c>
      <c r="B115" s="126" t="s">
        <v>157</v>
      </c>
      <c r="C115" s="127">
        <f>+C116</f>
        <v>13938000</v>
      </c>
      <c r="D115" s="127">
        <f>+D116</f>
        <v>13938000</v>
      </c>
      <c r="E115" s="127">
        <f>+E116</f>
        <v>6969000</v>
      </c>
      <c r="F115" s="127">
        <f t="shared" ref="F115:N115" si="91">+F116</f>
        <v>6969000</v>
      </c>
      <c r="G115" s="127">
        <f t="shared" si="91"/>
        <v>0</v>
      </c>
      <c r="H115" s="127">
        <f t="shared" si="91"/>
        <v>0</v>
      </c>
      <c r="I115" s="127">
        <f t="shared" si="91"/>
        <v>0</v>
      </c>
      <c r="J115" s="127">
        <f t="shared" si="91"/>
        <v>0</v>
      </c>
      <c r="K115" s="127">
        <f t="shared" si="91"/>
        <v>0</v>
      </c>
      <c r="L115" s="127">
        <f t="shared" si="91"/>
        <v>0</v>
      </c>
      <c r="M115" s="127">
        <f>+M116</f>
        <v>6969000</v>
      </c>
      <c r="N115" s="127">
        <f t="shared" si="91"/>
        <v>6969000</v>
      </c>
    </row>
    <row r="116" spans="1:14" hidden="1" x14ac:dyDescent="0.25">
      <c r="A116" s="128">
        <v>3</v>
      </c>
      <c r="B116" s="129" t="s">
        <v>41</v>
      </c>
      <c r="C116" s="130">
        <f>+C117+C121+C126+C128</f>
        <v>13938000</v>
      </c>
      <c r="D116" s="130">
        <f>+D117+D121+D126+D128</f>
        <v>13938000</v>
      </c>
      <c r="E116" s="130">
        <f>+E117+E121+E126+E128</f>
        <v>6969000</v>
      </c>
      <c r="F116" s="130">
        <f>+F117+F121+F126+F128</f>
        <v>6969000</v>
      </c>
      <c r="G116" s="130">
        <f t="shared" ref="G116:L116" si="92">+G117+G121+G126+G128</f>
        <v>0</v>
      </c>
      <c r="H116" s="130">
        <f t="shared" si="92"/>
        <v>0</v>
      </c>
      <c r="I116" s="130">
        <f t="shared" si="92"/>
        <v>0</v>
      </c>
      <c r="J116" s="130">
        <f t="shared" si="92"/>
        <v>0</v>
      </c>
      <c r="K116" s="130">
        <f t="shared" si="92"/>
        <v>0</v>
      </c>
      <c r="L116" s="134">
        <f t="shared" si="92"/>
        <v>0</v>
      </c>
      <c r="M116" s="130">
        <f>+M117+M121+M126+M128</f>
        <v>6969000</v>
      </c>
      <c r="N116" s="130">
        <f>+N117+N121+N126+N128</f>
        <v>6969000</v>
      </c>
    </row>
    <row r="117" spans="1:14" hidden="1" x14ac:dyDescent="0.25">
      <c r="A117" s="128">
        <v>31</v>
      </c>
      <c r="B117" s="129" t="s">
        <v>42</v>
      </c>
      <c r="C117" s="130">
        <f>SUM(C118:C120)</f>
        <v>13220000</v>
      </c>
      <c r="D117" s="130">
        <f>SUM(D118:D120)</f>
        <v>13220000</v>
      </c>
      <c r="E117" s="130">
        <f>SUM(E118:E120)</f>
        <v>6610000</v>
      </c>
      <c r="F117" s="130">
        <f t="shared" ref="F117:L117" si="93">SUM(F118:F120)</f>
        <v>6610000</v>
      </c>
      <c r="G117" s="130">
        <f t="shared" si="93"/>
        <v>0</v>
      </c>
      <c r="H117" s="130">
        <f t="shared" si="93"/>
        <v>0</v>
      </c>
      <c r="I117" s="130">
        <f t="shared" si="93"/>
        <v>0</v>
      </c>
      <c r="J117" s="130">
        <f t="shared" si="93"/>
        <v>0</v>
      </c>
      <c r="K117" s="130">
        <f t="shared" si="93"/>
        <v>0</v>
      </c>
      <c r="L117" s="134">
        <f t="shared" si="93"/>
        <v>0</v>
      </c>
      <c r="M117" s="130">
        <f>SUM(M118:M120)</f>
        <v>6610000</v>
      </c>
      <c r="N117" s="130">
        <f t="shared" ref="N117" si="94">SUM(N118:N120)</f>
        <v>6610000</v>
      </c>
    </row>
    <row r="118" spans="1:14" hidden="1" x14ac:dyDescent="0.25">
      <c r="A118" s="131">
        <v>311</v>
      </c>
      <c r="B118" s="132" t="s">
        <v>135</v>
      </c>
      <c r="C118" s="133">
        <f t="shared" ref="C118:C129" si="95">SUM(E118:K118)</f>
        <v>10920000</v>
      </c>
      <c r="D118" s="133">
        <f t="shared" ref="D118:E121" si="96">SUM(E118:K118)</f>
        <v>10920000</v>
      </c>
      <c r="E118" s="133">
        <f t="shared" si="96"/>
        <v>5460000</v>
      </c>
      <c r="F118" s="133">
        <v>5460000</v>
      </c>
      <c r="G118" s="133"/>
      <c r="H118" s="133"/>
      <c r="I118" s="133"/>
      <c r="J118" s="133"/>
      <c r="K118" s="133"/>
      <c r="L118" s="135"/>
      <c r="M118" s="133">
        <f t="shared" ref="M118:M129" si="97">SUM(N118:N118)</f>
        <v>5460000</v>
      </c>
      <c r="N118" s="133">
        <v>5460000</v>
      </c>
    </row>
    <row r="119" spans="1:14" hidden="1" x14ac:dyDescent="0.25">
      <c r="A119" s="131">
        <v>312</v>
      </c>
      <c r="B119" s="132" t="s">
        <v>44</v>
      </c>
      <c r="C119" s="133">
        <f t="shared" si="95"/>
        <v>500000</v>
      </c>
      <c r="D119" s="133">
        <f t="shared" si="96"/>
        <v>500000</v>
      </c>
      <c r="E119" s="133">
        <f t="shared" si="96"/>
        <v>250000</v>
      </c>
      <c r="F119" s="133">
        <v>250000</v>
      </c>
      <c r="G119" s="133"/>
      <c r="H119" s="133"/>
      <c r="I119" s="133"/>
      <c r="J119" s="133"/>
      <c r="K119" s="133"/>
      <c r="L119" s="135"/>
      <c r="M119" s="133">
        <f t="shared" si="97"/>
        <v>250000</v>
      </c>
      <c r="N119" s="133">
        <v>250000</v>
      </c>
    </row>
    <row r="120" spans="1:14" hidden="1" x14ac:dyDescent="0.25">
      <c r="A120" s="131">
        <v>313</v>
      </c>
      <c r="B120" s="132" t="s">
        <v>45</v>
      </c>
      <c r="C120" s="133">
        <f t="shared" si="95"/>
        <v>1800000</v>
      </c>
      <c r="D120" s="133">
        <f t="shared" si="96"/>
        <v>1800000</v>
      </c>
      <c r="E120" s="133">
        <f t="shared" si="96"/>
        <v>900000</v>
      </c>
      <c r="F120" s="133">
        <v>900000</v>
      </c>
      <c r="G120" s="133"/>
      <c r="H120" s="133"/>
      <c r="I120" s="133"/>
      <c r="J120" s="133"/>
      <c r="K120" s="133"/>
      <c r="L120" s="135"/>
      <c r="M120" s="133">
        <f t="shared" si="97"/>
        <v>900000</v>
      </c>
      <c r="N120" s="133">
        <v>900000</v>
      </c>
    </row>
    <row r="121" spans="1:14" hidden="1" x14ac:dyDescent="0.25">
      <c r="A121" s="128">
        <v>32</v>
      </c>
      <c r="B121" s="129" t="s">
        <v>46</v>
      </c>
      <c r="C121" s="130">
        <f t="shared" si="95"/>
        <v>718000</v>
      </c>
      <c r="D121" s="130">
        <f t="shared" si="96"/>
        <v>718000</v>
      </c>
      <c r="E121" s="130">
        <f t="shared" si="96"/>
        <v>359000</v>
      </c>
      <c r="F121" s="130">
        <f>SUM(F122:F125)</f>
        <v>359000</v>
      </c>
      <c r="G121" s="130">
        <f t="shared" ref="G121:L121" si="98">SUM(G122:G125)</f>
        <v>0</v>
      </c>
      <c r="H121" s="130">
        <f t="shared" si="98"/>
        <v>0</v>
      </c>
      <c r="I121" s="130">
        <f t="shared" si="98"/>
        <v>0</v>
      </c>
      <c r="J121" s="130">
        <f t="shared" si="98"/>
        <v>0</v>
      </c>
      <c r="K121" s="130">
        <f t="shared" si="98"/>
        <v>0</v>
      </c>
      <c r="L121" s="134">
        <f t="shared" si="98"/>
        <v>0</v>
      </c>
      <c r="M121" s="130">
        <f t="shared" si="97"/>
        <v>359000</v>
      </c>
      <c r="N121" s="130">
        <f>SUM(N122:N125)</f>
        <v>359000</v>
      </c>
    </row>
    <row r="122" spans="1:14" hidden="1" x14ac:dyDescent="0.25">
      <c r="A122" s="131">
        <v>321</v>
      </c>
      <c r="B122" s="132" t="s">
        <v>47</v>
      </c>
      <c r="C122" s="133">
        <f t="shared" si="95"/>
        <v>678000</v>
      </c>
      <c r="D122" s="133">
        <f t="shared" ref="D122:E129" si="99">SUM(E122:K122)</f>
        <v>678000</v>
      </c>
      <c r="E122" s="133">
        <f t="shared" si="99"/>
        <v>339000</v>
      </c>
      <c r="F122" s="133">
        <v>339000</v>
      </c>
      <c r="G122" s="133"/>
      <c r="H122" s="133"/>
      <c r="I122" s="133"/>
      <c r="J122" s="133"/>
      <c r="K122" s="133"/>
      <c r="L122" s="135"/>
      <c r="M122" s="133">
        <f t="shared" si="97"/>
        <v>339000</v>
      </c>
      <c r="N122" s="133">
        <v>339000</v>
      </c>
    </row>
    <row r="123" spans="1:14" hidden="1" x14ac:dyDescent="0.25">
      <c r="A123" s="131">
        <v>322</v>
      </c>
      <c r="B123" s="132" t="s">
        <v>48</v>
      </c>
      <c r="C123" s="133">
        <f t="shared" si="95"/>
        <v>0</v>
      </c>
      <c r="D123" s="133">
        <f t="shared" si="99"/>
        <v>0</v>
      </c>
      <c r="E123" s="133">
        <f t="shared" si="99"/>
        <v>0</v>
      </c>
      <c r="F123" s="133"/>
      <c r="G123" s="133"/>
      <c r="H123" s="133"/>
      <c r="I123" s="133"/>
      <c r="J123" s="133"/>
      <c r="K123" s="133"/>
      <c r="L123" s="135"/>
      <c r="M123" s="133">
        <f t="shared" si="97"/>
        <v>0</v>
      </c>
      <c r="N123" s="133"/>
    </row>
    <row r="124" spans="1:14" hidden="1" x14ac:dyDescent="0.25">
      <c r="A124" s="131">
        <v>323</v>
      </c>
      <c r="B124" s="132" t="s">
        <v>49</v>
      </c>
      <c r="C124" s="133">
        <f t="shared" si="95"/>
        <v>0</v>
      </c>
      <c r="D124" s="133">
        <f t="shared" si="99"/>
        <v>0</v>
      </c>
      <c r="E124" s="133">
        <f t="shared" si="99"/>
        <v>0</v>
      </c>
      <c r="F124" s="133"/>
      <c r="G124" s="133"/>
      <c r="H124" s="133"/>
      <c r="I124" s="133"/>
      <c r="J124" s="133"/>
      <c r="K124" s="133"/>
      <c r="L124" s="135"/>
      <c r="M124" s="133">
        <f t="shared" si="97"/>
        <v>0</v>
      </c>
      <c r="N124" s="133"/>
    </row>
    <row r="125" spans="1:14" hidden="1" x14ac:dyDescent="0.25">
      <c r="A125" s="131">
        <v>329</v>
      </c>
      <c r="B125" s="132" t="s">
        <v>50</v>
      </c>
      <c r="C125" s="133">
        <f t="shared" si="95"/>
        <v>40000</v>
      </c>
      <c r="D125" s="133">
        <f t="shared" si="99"/>
        <v>40000</v>
      </c>
      <c r="E125" s="133">
        <f t="shared" si="99"/>
        <v>20000</v>
      </c>
      <c r="F125" s="133">
        <v>20000</v>
      </c>
      <c r="G125" s="133"/>
      <c r="H125" s="133"/>
      <c r="I125" s="133"/>
      <c r="J125" s="133"/>
      <c r="K125" s="133"/>
      <c r="L125" s="135"/>
      <c r="M125" s="133">
        <f t="shared" si="97"/>
        <v>20000</v>
      </c>
      <c r="N125" s="133">
        <v>20000</v>
      </c>
    </row>
    <row r="126" spans="1:14" hidden="1" x14ac:dyDescent="0.25">
      <c r="A126" s="128">
        <v>34</v>
      </c>
      <c r="B126" s="129" t="s">
        <v>136</v>
      </c>
      <c r="C126" s="130">
        <f t="shared" si="95"/>
        <v>0</v>
      </c>
      <c r="D126" s="130">
        <f t="shared" si="99"/>
        <v>0</v>
      </c>
      <c r="E126" s="130">
        <f t="shared" si="99"/>
        <v>0</v>
      </c>
      <c r="F126" s="130">
        <f t="shared" ref="F126:N126" si="100">+F127</f>
        <v>0</v>
      </c>
      <c r="G126" s="130">
        <f t="shared" si="100"/>
        <v>0</v>
      </c>
      <c r="H126" s="130">
        <f t="shared" si="100"/>
        <v>0</v>
      </c>
      <c r="I126" s="130">
        <f t="shared" si="100"/>
        <v>0</v>
      </c>
      <c r="J126" s="130">
        <f t="shared" si="100"/>
        <v>0</v>
      </c>
      <c r="K126" s="130">
        <f t="shared" si="100"/>
        <v>0</v>
      </c>
      <c r="L126" s="134">
        <f t="shared" si="100"/>
        <v>0</v>
      </c>
      <c r="M126" s="130">
        <f t="shared" si="97"/>
        <v>0</v>
      </c>
      <c r="N126" s="130">
        <f t="shared" si="100"/>
        <v>0</v>
      </c>
    </row>
    <row r="127" spans="1:14" hidden="1" x14ac:dyDescent="0.25">
      <c r="A127" s="131">
        <v>343</v>
      </c>
      <c r="B127" s="132" t="s">
        <v>52</v>
      </c>
      <c r="C127" s="133">
        <f t="shared" si="95"/>
        <v>0</v>
      </c>
      <c r="D127" s="133">
        <f t="shared" si="99"/>
        <v>0</v>
      </c>
      <c r="E127" s="133">
        <f t="shared" si="99"/>
        <v>0</v>
      </c>
      <c r="F127" s="133"/>
      <c r="G127" s="133"/>
      <c r="H127" s="133"/>
      <c r="I127" s="133"/>
      <c r="J127" s="133"/>
      <c r="K127" s="133"/>
      <c r="L127" s="135"/>
      <c r="M127" s="133">
        <f t="shared" si="97"/>
        <v>0</v>
      </c>
      <c r="N127" s="133"/>
    </row>
    <row r="128" spans="1:14" ht="26.25" hidden="1" x14ac:dyDescent="0.25">
      <c r="A128" s="128">
        <v>37</v>
      </c>
      <c r="B128" s="129" t="s">
        <v>137</v>
      </c>
      <c r="C128" s="130">
        <f t="shared" si="95"/>
        <v>0</v>
      </c>
      <c r="D128" s="130">
        <f t="shared" si="99"/>
        <v>0</v>
      </c>
      <c r="E128" s="130">
        <f t="shared" si="99"/>
        <v>0</v>
      </c>
      <c r="F128" s="130">
        <f t="shared" ref="F128:N128" si="101">+F129</f>
        <v>0</v>
      </c>
      <c r="G128" s="130">
        <f t="shared" si="101"/>
        <v>0</v>
      </c>
      <c r="H128" s="130">
        <f t="shared" si="101"/>
        <v>0</v>
      </c>
      <c r="I128" s="130">
        <f t="shared" si="101"/>
        <v>0</v>
      </c>
      <c r="J128" s="130">
        <f t="shared" si="101"/>
        <v>0</v>
      </c>
      <c r="K128" s="130">
        <f t="shared" si="101"/>
        <v>0</v>
      </c>
      <c r="L128" s="134">
        <f t="shared" si="101"/>
        <v>0</v>
      </c>
      <c r="M128" s="130">
        <f t="shared" si="97"/>
        <v>0</v>
      </c>
      <c r="N128" s="130">
        <f t="shared" si="101"/>
        <v>0</v>
      </c>
    </row>
    <row r="129" spans="1:14" hidden="1" x14ac:dyDescent="0.25">
      <c r="A129" s="131">
        <v>372</v>
      </c>
      <c r="B129" s="132" t="s">
        <v>54</v>
      </c>
      <c r="C129" s="133">
        <f t="shared" si="95"/>
        <v>0</v>
      </c>
      <c r="D129" s="133">
        <f t="shared" si="99"/>
        <v>0</v>
      </c>
      <c r="E129" s="133">
        <f t="shared" si="99"/>
        <v>0</v>
      </c>
      <c r="F129" s="133"/>
      <c r="G129" s="133"/>
      <c r="H129" s="133"/>
      <c r="I129" s="133"/>
      <c r="J129" s="133"/>
      <c r="K129" s="133"/>
      <c r="L129" s="135"/>
      <c r="M129" s="133">
        <f t="shared" si="97"/>
        <v>0</v>
      </c>
      <c r="N129" s="133"/>
    </row>
    <row r="130" spans="1:14" hidden="1" x14ac:dyDescent="0.25">
      <c r="A130" s="128"/>
      <c r="B130" s="129"/>
      <c r="C130" s="130"/>
      <c r="D130" s="130"/>
      <c r="E130" s="130"/>
      <c r="F130" s="130"/>
      <c r="G130" s="130"/>
      <c r="H130" s="130"/>
      <c r="I130" s="130"/>
      <c r="J130" s="130"/>
      <c r="K130" s="130"/>
      <c r="L130" s="134"/>
      <c r="M130" s="130"/>
      <c r="N130" s="130"/>
    </row>
    <row r="131" spans="1:14" hidden="1" x14ac:dyDescent="0.25">
      <c r="A131" s="136" t="s">
        <v>158</v>
      </c>
      <c r="B131" s="137" t="s">
        <v>159</v>
      </c>
      <c r="C131" s="138">
        <f t="shared" ref="C131:D131" si="102">+C132+C146</f>
        <v>2008000</v>
      </c>
      <c r="D131" s="138">
        <f t="shared" si="102"/>
        <v>2008000</v>
      </c>
      <c r="E131" s="138">
        <f t="shared" ref="E131:L131" si="103">+E132+E146</f>
        <v>1004000</v>
      </c>
      <c r="F131" s="138">
        <f t="shared" si="103"/>
        <v>1004000</v>
      </c>
      <c r="G131" s="138">
        <f t="shared" si="103"/>
        <v>0</v>
      </c>
      <c r="H131" s="138">
        <f t="shared" si="103"/>
        <v>0</v>
      </c>
      <c r="I131" s="138">
        <f t="shared" si="103"/>
        <v>0</v>
      </c>
      <c r="J131" s="138">
        <f t="shared" si="103"/>
        <v>0</v>
      </c>
      <c r="K131" s="138">
        <f t="shared" si="103"/>
        <v>0</v>
      </c>
      <c r="L131" s="138">
        <f t="shared" si="103"/>
        <v>0</v>
      </c>
      <c r="M131" s="138">
        <f t="shared" ref="M131:N131" si="104">+M132+M146</f>
        <v>1004000</v>
      </c>
      <c r="N131" s="138">
        <f t="shared" si="104"/>
        <v>1004000</v>
      </c>
    </row>
    <row r="132" spans="1:14" hidden="1" x14ac:dyDescent="0.25">
      <c r="A132" s="128">
        <v>3</v>
      </c>
      <c r="B132" s="129" t="s">
        <v>41</v>
      </c>
      <c r="C132" s="130">
        <f>+C133+C137+C142+C144</f>
        <v>1974000</v>
      </c>
      <c r="D132" s="130">
        <f>+D133+D137+D142+D144</f>
        <v>1974000</v>
      </c>
      <c r="E132" s="130">
        <f>+E133+E137+E142+E144</f>
        <v>987000</v>
      </c>
      <c r="F132" s="130">
        <f>+F133+F137+F142+F144</f>
        <v>987000</v>
      </c>
      <c r="G132" s="130">
        <f t="shared" ref="G132:L132" si="105">+G133+G137+G142+G144</f>
        <v>0</v>
      </c>
      <c r="H132" s="130">
        <f t="shared" si="105"/>
        <v>0</v>
      </c>
      <c r="I132" s="130">
        <f t="shared" si="105"/>
        <v>0</v>
      </c>
      <c r="J132" s="130">
        <f t="shared" si="105"/>
        <v>0</v>
      </c>
      <c r="K132" s="130">
        <f t="shared" si="105"/>
        <v>0</v>
      </c>
      <c r="L132" s="134">
        <f t="shared" si="105"/>
        <v>0</v>
      </c>
      <c r="M132" s="130">
        <f>+M133+M137+M142+M144</f>
        <v>987000</v>
      </c>
      <c r="N132" s="130">
        <f>+N133+N137+N142+N144</f>
        <v>987000</v>
      </c>
    </row>
    <row r="133" spans="1:14" hidden="1" x14ac:dyDescent="0.25">
      <c r="A133" s="128">
        <v>31</v>
      </c>
      <c r="B133" s="129" t="s">
        <v>42</v>
      </c>
      <c r="C133" s="130">
        <f>SUM(C134:C136)</f>
        <v>0</v>
      </c>
      <c r="D133" s="130">
        <f>SUM(D134:D136)</f>
        <v>0</v>
      </c>
      <c r="E133" s="130">
        <f>SUM(E134:E136)</f>
        <v>0</v>
      </c>
      <c r="F133" s="130">
        <f t="shared" ref="F133:L133" si="106">SUM(F134:F136)</f>
        <v>0</v>
      </c>
      <c r="G133" s="130">
        <f t="shared" si="106"/>
        <v>0</v>
      </c>
      <c r="H133" s="130">
        <f t="shared" si="106"/>
        <v>0</v>
      </c>
      <c r="I133" s="130">
        <f t="shared" si="106"/>
        <v>0</v>
      </c>
      <c r="J133" s="130">
        <f t="shared" si="106"/>
        <v>0</v>
      </c>
      <c r="K133" s="130">
        <f t="shared" si="106"/>
        <v>0</v>
      </c>
      <c r="L133" s="134">
        <f t="shared" si="106"/>
        <v>0</v>
      </c>
      <c r="M133" s="130">
        <f>SUM(M134:M136)</f>
        <v>0</v>
      </c>
      <c r="N133" s="130">
        <f t="shared" ref="N133" si="107">SUM(N134:N136)</f>
        <v>0</v>
      </c>
    </row>
    <row r="134" spans="1:14" hidden="1" x14ac:dyDescent="0.25">
      <c r="A134" s="131">
        <v>311</v>
      </c>
      <c r="B134" s="132" t="s">
        <v>135</v>
      </c>
      <c r="C134" s="133">
        <f t="shared" ref="C134:C146" si="108">SUM(E134:K134)</f>
        <v>0</v>
      </c>
      <c r="D134" s="133">
        <f t="shared" ref="D134:E137" si="109">SUM(E134:K134)</f>
        <v>0</v>
      </c>
      <c r="E134" s="133">
        <f t="shared" si="109"/>
        <v>0</v>
      </c>
      <c r="F134" s="133"/>
      <c r="G134" s="133"/>
      <c r="H134" s="133"/>
      <c r="I134" s="133"/>
      <c r="J134" s="133"/>
      <c r="K134" s="133"/>
      <c r="L134" s="135"/>
      <c r="M134" s="133">
        <f t="shared" ref="M134:M146" si="110">SUM(N134:N134)</f>
        <v>0</v>
      </c>
      <c r="N134" s="133"/>
    </row>
    <row r="135" spans="1:14" hidden="1" x14ac:dyDescent="0.25">
      <c r="A135" s="131">
        <v>312</v>
      </c>
      <c r="B135" s="132" t="s">
        <v>44</v>
      </c>
      <c r="C135" s="133">
        <f t="shared" si="108"/>
        <v>0</v>
      </c>
      <c r="D135" s="133">
        <f t="shared" si="109"/>
        <v>0</v>
      </c>
      <c r="E135" s="133">
        <f t="shared" si="109"/>
        <v>0</v>
      </c>
      <c r="F135" s="133"/>
      <c r="G135" s="133"/>
      <c r="H135" s="133"/>
      <c r="I135" s="133"/>
      <c r="J135" s="133"/>
      <c r="K135" s="133"/>
      <c r="L135" s="135"/>
      <c r="M135" s="133">
        <f t="shared" si="110"/>
        <v>0</v>
      </c>
      <c r="N135" s="133"/>
    </row>
    <row r="136" spans="1:14" hidden="1" x14ac:dyDescent="0.25">
      <c r="A136" s="131">
        <v>313</v>
      </c>
      <c r="B136" s="132" t="s">
        <v>45</v>
      </c>
      <c r="C136" s="133">
        <f t="shared" si="108"/>
        <v>0</v>
      </c>
      <c r="D136" s="133">
        <f t="shared" si="109"/>
        <v>0</v>
      </c>
      <c r="E136" s="133">
        <f t="shared" si="109"/>
        <v>0</v>
      </c>
      <c r="F136" s="133"/>
      <c r="G136" s="133"/>
      <c r="H136" s="133"/>
      <c r="I136" s="133"/>
      <c r="J136" s="133"/>
      <c r="K136" s="133"/>
      <c r="L136" s="135"/>
      <c r="M136" s="133">
        <f t="shared" si="110"/>
        <v>0</v>
      </c>
      <c r="N136" s="133"/>
    </row>
    <row r="137" spans="1:14" hidden="1" x14ac:dyDescent="0.25">
      <c r="A137" s="128">
        <v>32</v>
      </c>
      <c r="B137" s="129" t="s">
        <v>46</v>
      </c>
      <c r="C137" s="130">
        <f t="shared" si="108"/>
        <v>916000</v>
      </c>
      <c r="D137" s="130">
        <f t="shared" si="109"/>
        <v>916000</v>
      </c>
      <c r="E137" s="130">
        <f t="shared" si="109"/>
        <v>458000</v>
      </c>
      <c r="F137" s="130">
        <f>SUM(F138:F141)</f>
        <v>458000</v>
      </c>
      <c r="G137" s="130">
        <f t="shared" ref="G137:L137" si="111">SUM(G138:G141)</f>
        <v>0</v>
      </c>
      <c r="H137" s="130">
        <f t="shared" si="111"/>
        <v>0</v>
      </c>
      <c r="I137" s="130">
        <f t="shared" si="111"/>
        <v>0</v>
      </c>
      <c r="J137" s="130">
        <f t="shared" si="111"/>
        <v>0</v>
      </c>
      <c r="K137" s="130">
        <f t="shared" si="111"/>
        <v>0</v>
      </c>
      <c r="L137" s="134">
        <f t="shared" si="111"/>
        <v>0</v>
      </c>
      <c r="M137" s="130">
        <f t="shared" si="110"/>
        <v>458000</v>
      </c>
      <c r="N137" s="130">
        <f>SUM(N138:N141)</f>
        <v>458000</v>
      </c>
    </row>
    <row r="138" spans="1:14" hidden="1" x14ac:dyDescent="0.25">
      <c r="A138" s="131">
        <v>321</v>
      </c>
      <c r="B138" s="132" t="s">
        <v>47</v>
      </c>
      <c r="C138" s="133">
        <f t="shared" si="108"/>
        <v>0</v>
      </c>
      <c r="D138" s="133">
        <f t="shared" ref="D138:E145" si="112">SUM(E138:K138)</f>
        <v>0</v>
      </c>
      <c r="E138" s="133">
        <f t="shared" si="112"/>
        <v>0</v>
      </c>
      <c r="F138" s="133"/>
      <c r="G138" s="133"/>
      <c r="H138" s="133"/>
      <c r="I138" s="133"/>
      <c r="J138" s="133"/>
      <c r="K138" s="133"/>
      <c r="L138" s="135"/>
      <c r="M138" s="133">
        <f t="shared" si="110"/>
        <v>0</v>
      </c>
      <c r="N138" s="133"/>
    </row>
    <row r="139" spans="1:14" hidden="1" x14ac:dyDescent="0.25">
      <c r="A139" s="131">
        <v>322</v>
      </c>
      <c r="B139" s="132" t="s">
        <v>48</v>
      </c>
      <c r="C139" s="133">
        <f t="shared" si="108"/>
        <v>142000</v>
      </c>
      <c r="D139" s="133">
        <f t="shared" si="112"/>
        <v>142000</v>
      </c>
      <c r="E139" s="133">
        <f t="shared" si="112"/>
        <v>71000</v>
      </c>
      <c r="F139" s="133">
        <f>34000+27000+10000</f>
        <v>71000</v>
      </c>
      <c r="G139" s="133"/>
      <c r="H139" s="133"/>
      <c r="I139" s="133"/>
      <c r="J139" s="133"/>
      <c r="K139" s="133"/>
      <c r="L139" s="135"/>
      <c r="M139" s="133">
        <f t="shared" si="110"/>
        <v>71000</v>
      </c>
      <c r="N139" s="133">
        <f>34000+27000+10000</f>
        <v>71000</v>
      </c>
    </row>
    <row r="140" spans="1:14" hidden="1" x14ac:dyDescent="0.25">
      <c r="A140" s="131">
        <v>323</v>
      </c>
      <c r="B140" s="132" t="s">
        <v>49</v>
      </c>
      <c r="C140" s="133">
        <f t="shared" si="108"/>
        <v>764000</v>
      </c>
      <c r="D140" s="133">
        <f t="shared" si="112"/>
        <v>764000</v>
      </c>
      <c r="E140" s="133">
        <f t="shared" si="112"/>
        <v>382000</v>
      </c>
      <c r="F140" s="133">
        <f>350000+25500+5000+1500</f>
        <v>382000</v>
      </c>
      <c r="G140" s="133"/>
      <c r="H140" s="133"/>
      <c r="I140" s="133"/>
      <c r="J140" s="133"/>
      <c r="K140" s="133"/>
      <c r="L140" s="135"/>
      <c r="M140" s="133">
        <f t="shared" si="110"/>
        <v>382000</v>
      </c>
      <c r="N140" s="133">
        <f>350000+25500+5000+1500</f>
        <v>382000</v>
      </c>
    </row>
    <row r="141" spans="1:14" hidden="1" x14ac:dyDescent="0.25">
      <c r="A141" s="131">
        <v>329</v>
      </c>
      <c r="B141" s="132" t="s">
        <v>50</v>
      </c>
      <c r="C141" s="133">
        <f t="shared" si="108"/>
        <v>10000</v>
      </c>
      <c r="D141" s="133">
        <f t="shared" si="112"/>
        <v>10000</v>
      </c>
      <c r="E141" s="133">
        <f t="shared" si="112"/>
        <v>5000</v>
      </c>
      <c r="F141" s="133">
        <v>5000</v>
      </c>
      <c r="G141" s="133"/>
      <c r="H141" s="133"/>
      <c r="I141" s="133"/>
      <c r="J141" s="133"/>
      <c r="K141" s="133"/>
      <c r="L141" s="135"/>
      <c r="M141" s="133">
        <f t="shared" si="110"/>
        <v>5000</v>
      </c>
      <c r="N141" s="133">
        <v>5000</v>
      </c>
    </row>
    <row r="142" spans="1:14" hidden="1" x14ac:dyDescent="0.25">
      <c r="A142" s="128">
        <v>34</v>
      </c>
      <c r="B142" s="129" t="s">
        <v>136</v>
      </c>
      <c r="C142" s="130">
        <f t="shared" si="108"/>
        <v>0</v>
      </c>
      <c r="D142" s="130">
        <f t="shared" si="112"/>
        <v>0</v>
      </c>
      <c r="E142" s="130">
        <f t="shared" si="112"/>
        <v>0</v>
      </c>
      <c r="F142" s="130">
        <f t="shared" ref="F142:N142" si="113">+F143</f>
        <v>0</v>
      </c>
      <c r="G142" s="130">
        <f t="shared" si="113"/>
        <v>0</v>
      </c>
      <c r="H142" s="130">
        <f t="shared" si="113"/>
        <v>0</v>
      </c>
      <c r="I142" s="130">
        <f t="shared" si="113"/>
        <v>0</v>
      </c>
      <c r="J142" s="130">
        <f t="shared" si="113"/>
        <v>0</v>
      </c>
      <c r="K142" s="130">
        <f t="shared" si="113"/>
        <v>0</v>
      </c>
      <c r="L142" s="134">
        <f t="shared" si="113"/>
        <v>0</v>
      </c>
      <c r="M142" s="130">
        <f t="shared" si="110"/>
        <v>0</v>
      </c>
      <c r="N142" s="130">
        <f t="shared" si="113"/>
        <v>0</v>
      </c>
    </row>
    <row r="143" spans="1:14" hidden="1" x14ac:dyDescent="0.25">
      <c r="A143" s="131">
        <v>343</v>
      </c>
      <c r="B143" s="132" t="s">
        <v>52</v>
      </c>
      <c r="C143" s="133">
        <f t="shared" si="108"/>
        <v>0</v>
      </c>
      <c r="D143" s="133">
        <f t="shared" si="112"/>
        <v>0</v>
      </c>
      <c r="E143" s="133">
        <f t="shared" si="112"/>
        <v>0</v>
      </c>
      <c r="F143" s="133"/>
      <c r="G143" s="133"/>
      <c r="H143" s="133"/>
      <c r="I143" s="133"/>
      <c r="J143" s="133"/>
      <c r="K143" s="133"/>
      <c r="L143" s="135"/>
      <c r="M143" s="133">
        <f t="shared" si="110"/>
        <v>0</v>
      </c>
      <c r="N143" s="133"/>
    </row>
    <row r="144" spans="1:14" ht="26.25" hidden="1" x14ac:dyDescent="0.25">
      <c r="A144" s="128">
        <v>37</v>
      </c>
      <c r="B144" s="129" t="s">
        <v>137</v>
      </c>
      <c r="C144" s="130">
        <f t="shared" si="108"/>
        <v>1058000</v>
      </c>
      <c r="D144" s="130">
        <f t="shared" si="112"/>
        <v>1058000</v>
      </c>
      <c r="E144" s="130">
        <f t="shared" si="112"/>
        <v>529000</v>
      </c>
      <c r="F144" s="130">
        <f t="shared" ref="F144:N144" si="114">+F145</f>
        <v>529000</v>
      </c>
      <c r="G144" s="130">
        <f t="shared" si="114"/>
        <v>0</v>
      </c>
      <c r="H144" s="130">
        <f t="shared" si="114"/>
        <v>0</v>
      </c>
      <c r="I144" s="130">
        <f t="shared" si="114"/>
        <v>0</v>
      </c>
      <c r="J144" s="130">
        <f t="shared" si="114"/>
        <v>0</v>
      </c>
      <c r="K144" s="130">
        <f t="shared" si="114"/>
        <v>0</v>
      </c>
      <c r="L144" s="134">
        <f t="shared" si="114"/>
        <v>0</v>
      </c>
      <c r="M144" s="130">
        <f t="shared" si="110"/>
        <v>529000</v>
      </c>
      <c r="N144" s="130">
        <f t="shared" si="114"/>
        <v>529000</v>
      </c>
    </row>
    <row r="145" spans="1:18" hidden="1" x14ac:dyDescent="0.25">
      <c r="A145" s="131">
        <v>372</v>
      </c>
      <c r="B145" s="132" t="s">
        <v>54</v>
      </c>
      <c r="C145" s="133">
        <f t="shared" si="108"/>
        <v>1058000</v>
      </c>
      <c r="D145" s="133">
        <f t="shared" si="112"/>
        <v>1058000</v>
      </c>
      <c r="E145" s="133">
        <f t="shared" si="112"/>
        <v>529000</v>
      </c>
      <c r="F145" s="133">
        <v>529000</v>
      </c>
      <c r="G145" s="133"/>
      <c r="H145" s="133"/>
      <c r="I145" s="133"/>
      <c r="J145" s="133"/>
      <c r="K145" s="133"/>
      <c r="L145" s="135"/>
      <c r="M145" s="133">
        <f t="shared" si="110"/>
        <v>529000</v>
      </c>
      <c r="N145" s="133">
        <v>529000</v>
      </c>
    </row>
    <row r="146" spans="1:18" hidden="1" x14ac:dyDescent="0.25">
      <c r="A146" s="128">
        <v>4</v>
      </c>
      <c r="B146" s="129" t="s">
        <v>138</v>
      </c>
      <c r="C146" s="130">
        <f t="shared" si="108"/>
        <v>34000</v>
      </c>
      <c r="D146" s="130">
        <f>SUM(E146:K146)</f>
        <v>34000</v>
      </c>
      <c r="E146" s="130">
        <f>SUM(F146:L146)</f>
        <v>17000</v>
      </c>
      <c r="F146" s="130">
        <f>+F149+F147</f>
        <v>17000</v>
      </c>
      <c r="G146" s="130">
        <f t="shared" ref="G146:L146" si="115">+G149+G147</f>
        <v>0</v>
      </c>
      <c r="H146" s="130">
        <f t="shared" si="115"/>
        <v>0</v>
      </c>
      <c r="I146" s="130">
        <f t="shared" si="115"/>
        <v>0</v>
      </c>
      <c r="J146" s="130">
        <f t="shared" si="115"/>
        <v>0</v>
      </c>
      <c r="K146" s="130">
        <f t="shared" si="115"/>
        <v>0</v>
      </c>
      <c r="L146" s="134">
        <f t="shared" si="115"/>
        <v>0</v>
      </c>
      <c r="M146" s="130">
        <f t="shared" si="110"/>
        <v>17000</v>
      </c>
      <c r="N146" s="130">
        <f>+N149+N147</f>
        <v>17000</v>
      </c>
    </row>
    <row r="147" spans="1:18" hidden="1" x14ac:dyDescent="0.25">
      <c r="A147" s="128">
        <v>41</v>
      </c>
      <c r="B147" s="129" t="s">
        <v>139</v>
      </c>
      <c r="C147" s="130">
        <f>+C148</f>
        <v>0</v>
      </c>
      <c r="D147" s="130">
        <f>+D148</f>
        <v>0</v>
      </c>
      <c r="E147" s="130">
        <f>+E148</f>
        <v>0</v>
      </c>
      <c r="F147" s="130">
        <f t="shared" ref="F147:N147" si="116">+F148</f>
        <v>0</v>
      </c>
      <c r="G147" s="130">
        <f t="shared" si="116"/>
        <v>0</v>
      </c>
      <c r="H147" s="130">
        <f t="shared" si="116"/>
        <v>0</v>
      </c>
      <c r="I147" s="130">
        <f t="shared" si="116"/>
        <v>0</v>
      </c>
      <c r="J147" s="130">
        <f t="shared" si="116"/>
        <v>0</v>
      </c>
      <c r="K147" s="130">
        <f t="shared" si="116"/>
        <v>0</v>
      </c>
      <c r="L147" s="134">
        <f t="shared" si="116"/>
        <v>0</v>
      </c>
      <c r="M147" s="130">
        <f>+M148</f>
        <v>0</v>
      </c>
      <c r="N147" s="130">
        <f t="shared" si="116"/>
        <v>0</v>
      </c>
    </row>
    <row r="148" spans="1:18" hidden="1" x14ac:dyDescent="0.25">
      <c r="A148" s="131">
        <v>412</v>
      </c>
      <c r="B148" s="132" t="s">
        <v>57</v>
      </c>
      <c r="C148" s="133">
        <f>SUM(E148:K148)</f>
        <v>0</v>
      </c>
      <c r="D148" s="133">
        <f t="shared" ref="D148:E151" si="117">SUM(E148:K148)</f>
        <v>0</v>
      </c>
      <c r="E148" s="133">
        <f t="shared" si="117"/>
        <v>0</v>
      </c>
      <c r="F148" s="133"/>
      <c r="G148" s="133"/>
      <c r="H148" s="133"/>
      <c r="I148" s="133"/>
      <c r="J148" s="133"/>
      <c r="K148" s="133"/>
      <c r="L148" s="135"/>
      <c r="M148" s="133">
        <f>SUM(N148:N148)</f>
        <v>0</v>
      </c>
      <c r="N148" s="133"/>
    </row>
    <row r="149" spans="1:18" hidden="1" x14ac:dyDescent="0.25">
      <c r="A149" s="128">
        <v>42</v>
      </c>
      <c r="B149" s="129" t="s">
        <v>140</v>
      </c>
      <c r="C149" s="130">
        <f>SUM(E149:K149)</f>
        <v>34000</v>
      </c>
      <c r="D149" s="130">
        <f t="shared" si="117"/>
        <v>34000</v>
      </c>
      <c r="E149" s="130">
        <f t="shared" si="117"/>
        <v>17000</v>
      </c>
      <c r="F149" s="130">
        <f t="shared" ref="F149:L149" si="118">+F150+F151</f>
        <v>17000</v>
      </c>
      <c r="G149" s="130">
        <f t="shared" si="118"/>
        <v>0</v>
      </c>
      <c r="H149" s="130">
        <f t="shared" si="118"/>
        <v>0</v>
      </c>
      <c r="I149" s="130">
        <f t="shared" si="118"/>
        <v>0</v>
      </c>
      <c r="J149" s="130">
        <f t="shared" si="118"/>
        <v>0</v>
      </c>
      <c r="K149" s="130">
        <f t="shared" si="118"/>
        <v>0</v>
      </c>
      <c r="L149" s="134">
        <f t="shared" si="118"/>
        <v>0</v>
      </c>
      <c r="M149" s="130">
        <f>SUM(N149:N149)</f>
        <v>17000</v>
      </c>
      <c r="N149" s="130">
        <f t="shared" ref="N149" si="119">+N150+N151</f>
        <v>17000</v>
      </c>
    </row>
    <row r="150" spans="1:18" hidden="1" x14ac:dyDescent="0.25">
      <c r="A150" s="131">
        <v>422</v>
      </c>
      <c r="B150" s="132" t="s">
        <v>59</v>
      </c>
      <c r="C150" s="133">
        <f>SUM(E150:K150)</f>
        <v>0</v>
      </c>
      <c r="D150" s="133">
        <f t="shared" si="117"/>
        <v>0</v>
      </c>
      <c r="E150" s="133">
        <f t="shared" si="117"/>
        <v>0</v>
      </c>
      <c r="F150" s="133"/>
      <c r="G150" s="133"/>
      <c r="H150" s="133"/>
      <c r="I150" s="133"/>
      <c r="J150" s="133"/>
      <c r="K150" s="133"/>
      <c r="L150" s="135"/>
      <c r="M150" s="133">
        <f>SUM(N150:N150)</f>
        <v>0</v>
      </c>
      <c r="N150" s="133"/>
    </row>
    <row r="151" spans="1:18" hidden="1" x14ac:dyDescent="0.25">
      <c r="A151" s="131">
        <v>424</v>
      </c>
      <c r="B151" s="132" t="s">
        <v>141</v>
      </c>
      <c r="C151" s="133">
        <f>SUM(E151:K151)</f>
        <v>34000</v>
      </c>
      <c r="D151" s="133">
        <f t="shared" si="117"/>
        <v>34000</v>
      </c>
      <c r="E151" s="133">
        <f t="shared" si="117"/>
        <v>17000</v>
      </c>
      <c r="F151" s="133">
        <v>17000</v>
      </c>
      <c r="G151" s="133"/>
      <c r="H151" s="133"/>
      <c r="I151" s="133"/>
      <c r="J151" s="133"/>
      <c r="K151" s="133"/>
      <c r="L151" s="135"/>
      <c r="M151" s="133">
        <f>SUM(N151:N151)</f>
        <v>17000</v>
      </c>
      <c r="N151" s="133">
        <v>17000</v>
      </c>
    </row>
    <row r="152" spans="1:18" x14ac:dyDescent="0.25">
      <c r="A152" s="139"/>
      <c r="B152" s="140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</row>
    <row r="153" spans="1:18" x14ac:dyDescent="0.25">
      <c r="A153" s="139"/>
      <c r="B153" s="157" t="s">
        <v>180</v>
      </c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</row>
    <row r="154" spans="1:18" x14ac:dyDescent="0.25">
      <c r="A154" s="139"/>
      <c r="B154" s="140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</row>
    <row r="155" spans="1:18" ht="65.25" customHeight="1" x14ac:dyDescent="0.25">
      <c r="A155" s="142" t="s">
        <v>123</v>
      </c>
      <c r="B155" s="143" t="s">
        <v>124</v>
      </c>
      <c r="C155" s="142" t="s">
        <v>191</v>
      </c>
      <c r="D155" s="142" t="s">
        <v>192</v>
      </c>
      <c r="E155" s="142" t="s">
        <v>209</v>
      </c>
      <c r="F155" s="142" t="s">
        <v>126</v>
      </c>
      <c r="G155" s="142" t="s">
        <v>127</v>
      </c>
      <c r="H155" s="142" t="s">
        <v>26</v>
      </c>
      <c r="I155" s="142" t="s">
        <v>128</v>
      </c>
      <c r="J155" s="142" t="s">
        <v>103</v>
      </c>
      <c r="K155" s="142" t="s">
        <v>129</v>
      </c>
      <c r="L155" s="142" t="s">
        <v>130</v>
      </c>
      <c r="M155" s="142" t="s">
        <v>210</v>
      </c>
      <c r="N155" s="142" t="s">
        <v>175</v>
      </c>
    </row>
    <row r="156" spans="1:18" ht="18" customHeight="1" x14ac:dyDescent="0.25">
      <c r="A156" s="142">
        <v>1</v>
      </c>
      <c r="B156" s="142">
        <v>2</v>
      </c>
      <c r="C156" s="142">
        <v>3</v>
      </c>
      <c r="D156" s="142">
        <v>4</v>
      </c>
      <c r="E156" s="142">
        <v>4</v>
      </c>
      <c r="F156" s="142"/>
      <c r="G156" s="142"/>
      <c r="H156" s="142"/>
      <c r="I156" s="142"/>
      <c r="J156" s="142"/>
      <c r="K156" s="142"/>
      <c r="L156" s="142"/>
      <c r="M156" s="142">
        <v>5</v>
      </c>
      <c r="N156" s="142" t="s">
        <v>183</v>
      </c>
    </row>
    <row r="157" spans="1:18" ht="18" customHeight="1" x14ac:dyDescent="0.25">
      <c r="A157" s="187" t="s">
        <v>182</v>
      </c>
      <c r="B157" s="186"/>
      <c r="C157" s="188">
        <f t="shared" ref="C157:L157" si="120">+C158+C167+C171+C175+C186</f>
        <v>9495564</v>
      </c>
      <c r="D157" s="188">
        <f t="shared" ref="D157" si="121">+D158+D167+D171+D175+D186</f>
        <v>9574532</v>
      </c>
      <c r="E157" s="188">
        <f t="shared" si="120"/>
        <v>11980983.022999998</v>
      </c>
      <c r="F157" s="188" t="e">
        <f t="shared" si="120"/>
        <v>#REF!</v>
      </c>
      <c r="G157" s="188">
        <f t="shared" si="120"/>
        <v>0</v>
      </c>
      <c r="H157" s="188">
        <f t="shared" si="120"/>
        <v>0</v>
      </c>
      <c r="I157" s="188">
        <f t="shared" si="120"/>
        <v>0</v>
      </c>
      <c r="J157" s="188">
        <f t="shared" si="120"/>
        <v>0</v>
      </c>
      <c r="K157" s="188">
        <f t="shared" si="120"/>
        <v>0</v>
      </c>
      <c r="L157" s="188">
        <f t="shared" si="120"/>
        <v>0</v>
      </c>
      <c r="M157" s="188">
        <f>+M158+M167+M171+M175+M186</f>
        <v>11717645.98</v>
      </c>
      <c r="N157" s="218">
        <f>+M157/E157*100</f>
        <v>97.802041431037281</v>
      </c>
      <c r="P157" s="96"/>
    </row>
    <row r="158" spans="1:18" ht="18" customHeight="1" x14ac:dyDescent="0.25">
      <c r="A158" s="160" t="s">
        <v>170</v>
      </c>
      <c r="B158" s="158"/>
      <c r="C158" s="179">
        <f>+C159+C163</f>
        <v>9381764</v>
      </c>
      <c r="D158" s="179">
        <f t="shared" ref="D158" si="122">+D159+D163</f>
        <v>9465739</v>
      </c>
      <c r="E158" s="179">
        <f t="shared" ref="E158:M158" si="123">+E159+E163</f>
        <v>11898148.552999999</v>
      </c>
      <c r="F158" s="179" t="e">
        <f t="shared" si="123"/>
        <v>#REF!</v>
      </c>
      <c r="G158" s="179">
        <f t="shared" si="123"/>
        <v>0</v>
      </c>
      <c r="H158" s="179">
        <f t="shared" si="123"/>
        <v>0</v>
      </c>
      <c r="I158" s="179">
        <f t="shared" si="123"/>
        <v>0</v>
      </c>
      <c r="J158" s="179">
        <f t="shared" si="123"/>
        <v>0</v>
      </c>
      <c r="K158" s="179">
        <f t="shared" si="123"/>
        <v>0</v>
      </c>
      <c r="L158" s="179">
        <f t="shared" si="123"/>
        <v>0</v>
      </c>
      <c r="M158" s="179">
        <f t="shared" si="123"/>
        <v>11626629.18</v>
      </c>
      <c r="N158" s="165">
        <f>+M158/E158*100</f>
        <v>97.717969549711682</v>
      </c>
    </row>
    <row r="159" spans="1:18" ht="18" customHeight="1" x14ac:dyDescent="0.25">
      <c r="A159" s="10">
        <v>67</v>
      </c>
      <c r="B159" s="20" t="s">
        <v>35</v>
      </c>
      <c r="C159" s="200">
        <f>+C160</f>
        <v>941064</v>
      </c>
      <c r="D159" s="200">
        <f>+D160</f>
        <v>943573</v>
      </c>
      <c r="E159" s="200">
        <f>+E160</f>
        <v>2911624.22</v>
      </c>
      <c r="F159" s="99" t="e">
        <f>+#REF!+#REF!</f>
        <v>#REF!</v>
      </c>
      <c r="G159" s="176"/>
      <c r="H159" s="176"/>
      <c r="I159" s="176"/>
      <c r="J159" s="176"/>
      <c r="K159" s="176"/>
      <c r="L159" s="176"/>
      <c r="M159" s="200">
        <f>+M160</f>
        <v>2884269.66</v>
      </c>
      <c r="N159" s="176"/>
      <c r="Q159" s="96"/>
      <c r="R159" s="96"/>
    </row>
    <row r="160" spans="1:18" ht="20.25" customHeight="1" x14ac:dyDescent="0.25">
      <c r="A160" s="10">
        <v>671</v>
      </c>
      <c r="B160" s="20" t="s">
        <v>36</v>
      </c>
      <c r="C160" s="200">
        <v>941064</v>
      </c>
      <c r="D160" s="201">
        <v>943573</v>
      </c>
      <c r="E160" s="201">
        <v>2911624.22</v>
      </c>
      <c r="F160" s="99" t="e">
        <f>+#REF!+#REF!</f>
        <v>#REF!</v>
      </c>
      <c r="G160" s="176"/>
      <c r="H160" s="176"/>
      <c r="I160" s="176"/>
      <c r="J160" s="176"/>
      <c r="K160" s="176"/>
      <c r="L160" s="176"/>
      <c r="M160" s="201">
        <f>SUM(M161:M162)</f>
        <v>2884269.66</v>
      </c>
      <c r="N160" s="176"/>
      <c r="R160" s="96"/>
    </row>
    <row r="161" spans="1:18" ht="18" customHeight="1" x14ac:dyDescent="0.25">
      <c r="A161" s="15">
        <v>6711</v>
      </c>
      <c r="B161" s="22" t="s">
        <v>36</v>
      </c>
      <c r="C161" s="202"/>
      <c r="D161" s="201"/>
      <c r="E161" s="201"/>
      <c r="F161" s="99" t="e">
        <f>+#REF!+#REF!</f>
        <v>#REF!</v>
      </c>
      <c r="G161" s="176"/>
      <c r="H161" s="176"/>
      <c r="I161" s="176"/>
      <c r="J161" s="176"/>
      <c r="K161" s="176"/>
      <c r="L161" s="176"/>
      <c r="M161" s="201">
        <v>973919.66</v>
      </c>
      <c r="N161" s="176"/>
      <c r="R161" s="96"/>
    </row>
    <row r="162" spans="1:18" ht="18" customHeight="1" x14ac:dyDescent="0.25">
      <c r="A162" s="15">
        <v>6712</v>
      </c>
      <c r="B162" s="22" t="s">
        <v>37</v>
      </c>
      <c r="C162" s="202"/>
      <c r="D162" s="201"/>
      <c r="E162" s="201"/>
      <c r="F162" s="99" t="e">
        <f>+#REF!+#REF!</f>
        <v>#REF!</v>
      </c>
      <c r="G162" s="176"/>
      <c r="H162" s="176"/>
      <c r="I162" s="176"/>
      <c r="J162" s="176"/>
      <c r="K162" s="176"/>
      <c r="L162" s="176"/>
      <c r="M162" s="201">
        <v>1910350</v>
      </c>
      <c r="N162" s="176"/>
      <c r="R162" s="96"/>
    </row>
    <row r="163" spans="1:18" ht="18" customHeight="1" x14ac:dyDescent="0.25">
      <c r="A163" s="175">
        <v>63</v>
      </c>
      <c r="B163" s="11" t="s">
        <v>16</v>
      </c>
      <c r="C163" s="200">
        <f>+C164</f>
        <v>8440700</v>
      </c>
      <c r="D163" s="200">
        <f>+D164</f>
        <v>8522166</v>
      </c>
      <c r="E163" s="200">
        <f>+E164</f>
        <v>8986524.3329999987</v>
      </c>
      <c r="F163" s="99" t="e">
        <f>+#REF!+#REF!</f>
        <v>#REF!</v>
      </c>
      <c r="G163" s="176"/>
      <c r="H163" s="176"/>
      <c r="I163" s="176"/>
      <c r="J163" s="176"/>
      <c r="K163" s="176"/>
      <c r="L163" s="176"/>
      <c r="M163" s="200">
        <f>+M164</f>
        <v>8742359.5199999996</v>
      </c>
      <c r="N163" s="176"/>
      <c r="R163" s="96"/>
    </row>
    <row r="164" spans="1:18" ht="18" customHeight="1" x14ac:dyDescent="0.25">
      <c r="A164" s="10">
        <v>636</v>
      </c>
      <c r="B164" s="11" t="s">
        <v>19</v>
      </c>
      <c r="C164" s="200">
        <v>8440700</v>
      </c>
      <c r="D164" s="201">
        <v>8522166</v>
      </c>
      <c r="E164" s="201">
        <f>8919865.723+66658.61</f>
        <v>8986524.3329999987</v>
      </c>
      <c r="F164" s="99" t="e">
        <f>+#REF!+#REF!</f>
        <v>#REF!</v>
      </c>
      <c r="G164" s="176"/>
      <c r="H164" s="176"/>
      <c r="I164" s="176"/>
      <c r="J164" s="176"/>
      <c r="K164" s="176"/>
      <c r="L164" s="176"/>
      <c r="M164" s="201">
        <f>SUM(M165:M166)</f>
        <v>8742359.5199999996</v>
      </c>
      <c r="N164" s="176"/>
    </row>
    <row r="165" spans="1:18" ht="18" customHeight="1" x14ac:dyDescent="0.25">
      <c r="A165" s="15">
        <v>6361</v>
      </c>
      <c r="B165" s="16" t="s">
        <v>19</v>
      </c>
      <c r="C165" s="202"/>
      <c r="D165" s="203"/>
      <c r="E165" s="203"/>
      <c r="F165" s="100"/>
      <c r="G165" s="177"/>
      <c r="H165" s="177"/>
      <c r="I165" s="177"/>
      <c r="J165" s="177"/>
      <c r="K165" s="177"/>
      <c r="L165" s="177"/>
      <c r="M165" s="203">
        <v>8703897.2599999998</v>
      </c>
      <c r="N165" s="176"/>
    </row>
    <row r="166" spans="1:18" ht="18" customHeight="1" x14ac:dyDescent="0.25">
      <c r="A166" s="15">
        <v>6362</v>
      </c>
      <c r="B166" s="16" t="s">
        <v>20</v>
      </c>
      <c r="C166" s="202"/>
      <c r="D166" s="203"/>
      <c r="E166" s="203"/>
      <c r="F166" s="100"/>
      <c r="G166" s="177"/>
      <c r="H166" s="177"/>
      <c r="I166" s="177"/>
      <c r="J166" s="177"/>
      <c r="K166" s="177"/>
      <c r="L166" s="177"/>
      <c r="M166" s="203">
        <v>38462.26</v>
      </c>
      <c r="N166" s="176"/>
    </row>
    <row r="167" spans="1:18" ht="18" customHeight="1" x14ac:dyDescent="0.25">
      <c r="A167" s="160" t="s">
        <v>173</v>
      </c>
      <c r="B167" s="158"/>
      <c r="C167" s="198">
        <f t="shared" ref="C167:E168" si="124">+C168</f>
        <v>76000</v>
      </c>
      <c r="D167" s="198">
        <f t="shared" si="124"/>
        <v>77659</v>
      </c>
      <c r="E167" s="198">
        <f t="shared" si="124"/>
        <v>46000</v>
      </c>
      <c r="F167" s="179">
        <f t="shared" ref="F167:L167" si="125">+F170</f>
        <v>0</v>
      </c>
      <c r="G167" s="179">
        <f t="shared" si="125"/>
        <v>0</v>
      </c>
      <c r="H167" s="179">
        <f t="shared" si="125"/>
        <v>0</v>
      </c>
      <c r="I167" s="179">
        <f t="shared" si="125"/>
        <v>0</v>
      </c>
      <c r="J167" s="179">
        <f t="shared" si="125"/>
        <v>0</v>
      </c>
      <c r="K167" s="179">
        <f t="shared" si="125"/>
        <v>0</v>
      </c>
      <c r="L167" s="179">
        <f t="shared" si="125"/>
        <v>0</v>
      </c>
      <c r="M167" s="198">
        <f>+M170</f>
        <v>53639.69</v>
      </c>
      <c r="N167" s="165">
        <f>+M167/E167*100</f>
        <v>116.60802173913044</v>
      </c>
    </row>
    <row r="168" spans="1:18" ht="18" customHeight="1" x14ac:dyDescent="0.25">
      <c r="A168" s="175">
        <v>63</v>
      </c>
      <c r="B168" s="11" t="s">
        <v>16</v>
      </c>
      <c r="C168" s="204">
        <f t="shared" si="124"/>
        <v>76000</v>
      </c>
      <c r="D168" s="204">
        <f t="shared" si="124"/>
        <v>77659</v>
      </c>
      <c r="E168" s="204">
        <f t="shared" si="124"/>
        <v>46000</v>
      </c>
      <c r="F168" s="180"/>
      <c r="G168" s="180"/>
      <c r="H168" s="180"/>
      <c r="I168" s="180"/>
      <c r="J168" s="180"/>
      <c r="K168" s="180"/>
      <c r="L168" s="180"/>
      <c r="M168" s="204">
        <f>+M169</f>
        <v>53639.69</v>
      </c>
      <c r="N168" s="181"/>
    </row>
    <row r="169" spans="1:18" ht="18" customHeight="1" x14ac:dyDescent="0.25">
      <c r="A169" s="10">
        <v>636</v>
      </c>
      <c r="B169" s="11" t="s">
        <v>19</v>
      </c>
      <c r="C169" s="204">
        <v>76000</v>
      </c>
      <c r="D169" s="204">
        <v>77659</v>
      </c>
      <c r="E169" s="204">
        <v>46000</v>
      </c>
      <c r="F169" s="180"/>
      <c r="G169" s="180"/>
      <c r="H169" s="180"/>
      <c r="I169" s="180"/>
      <c r="J169" s="180"/>
      <c r="K169" s="180"/>
      <c r="L169" s="180"/>
      <c r="M169" s="204">
        <f>+M170</f>
        <v>53639.69</v>
      </c>
      <c r="N169" s="181"/>
    </row>
    <row r="170" spans="1:18" ht="18" customHeight="1" x14ac:dyDescent="0.25">
      <c r="A170" s="15">
        <v>6361</v>
      </c>
      <c r="B170" s="16" t="s">
        <v>19</v>
      </c>
      <c r="C170" s="202"/>
      <c r="D170" s="203"/>
      <c r="E170" s="203"/>
      <c r="F170" s="100"/>
      <c r="G170" s="177"/>
      <c r="H170" s="177"/>
      <c r="I170" s="177"/>
      <c r="J170" s="177"/>
      <c r="K170" s="177"/>
      <c r="L170" s="177"/>
      <c r="M170" s="203">
        <v>53639.69</v>
      </c>
      <c r="N170" s="176"/>
    </row>
    <row r="171" spans="1:18" ht="18" customHeight="1" x14ac:dyDescent="0.25">
      <c r="A171" s="160" t="s">
        <v>181</v>
      </c>
      <c r="B171" s="158"/>
      <c r="C171" s="198">
        <f t="shared" ref="C171:L171" si="126">+C172</f>
        <v>9000</v>
      </c>
      <c r="D171" s="198">
        <f t="shared" si="126"/>
        <v>11000</v>
      </c>
      <c r="E171" s="198">
        <f t="shared" si="126"/>
        <v>13200</v>
      </c>
      <c r="F171" s="179">
        <f t="shared" si="126"/>
        <v>0</v>
      </c>
      <c r="G171" s="179">
        <f t="shared" si="126"/>
        <v>0</v>
      </c>
      <c r="H171" s="179">
        <f t="shared" si="126"/>
        <v>0</v>
      </c>
      <c r="I171" s="179">
        <f t="shared" si="126"/>
        <v>0</v>
      </c>
      <c r="J171" s="179">
        <f t="shared" si="126"/>
        <v>0</v>
      </c>
      <c r="K171" s="179">
        <f t="shared" si="126"/>
        <v>0</v>
      </c>
      <c r="L171" s="179">
        <f t="shared" si="126"/>
        <v>0</v>
      </c>
      <c r="M171" s="198">
        <f>+M172</f>
        <v>12918.25</v>
      </c>
      <c r="N171" s="165">
        <f>+M171/E171*100</f>
        <v>97.865530303030297</v>
      </c>
    </row>
    <row r="172" spans="1:18" ht="18" customHeight="1" x14ac:dyDescent="0.25">
      <c r="A172" s="10">
        <v>65</v>
      </c>
      <c r="B172" s="52" t="s">
        <v>26</v>
      </c>
      <c r="C172" s="200">
        <f>+C173</f>
        <v>9000</v>
      </c>
      <c r="D172" s="200">
        <f>+D173</f>
        <v>11000</v>
      </c>
      <c r="E172" s="200">
        <f>+E173</f>
        <v>13200</v>
      </c>
      <c r="F172" s="100"/>
      <c r="G172" s="177"/>
      <c r="H172" s="177"/>
      <c r="I172" s="177"/>
      <c r="J172" s="177"/>
      <c r="K172" s="177"/>
      <c r="L172" s="177"/>
      <c r="M172" s="200">
        <f>+M173</f>
        <v>12918.25</v>
      </c>
      <c r="N172" s="176"/>
    </row>
    <row r="173" spans="1:18" ht="18" customHeight="1" x14ac:dyDescent="0.25">
      <c r="A173" s="10">
        <v>652</v>
      </c>
      <c r="B173" s="52" t="s">
        <v>27</v>
      </c>
      <c r="C173" s="202">
        <v>9000</v>
      </c>
      <c r="D173" s="203">
        <v>11000</v>
      </c>
      <c r="E173" s="203">
        <v>13200</v>
      </c>
      <c r="F173" s="100"/>
      <c r="G173" s="177"/>
      <c r="H173" s="177"/>
      <c r="I173" s="177"/>
      <c r="J173" s="177"/>
      <c r="K173" s="177"/>
      <c r="L173" s="177"/>
      <c r="M173" s="203">
        <f>+M174</f>
        <v>12918.25</v>
      </c>
      <c r="N173" s="176"/>
    </row>
    <row r="174" spans="1:18" ht="18" customHeight="1" x14ac:dyDescent="0.25">
      <c r="A174" s="15">
        <v>6526</v>
      </c>
      <c r="B174" s="53" t="s">
        <v>28</v>
      </c>
      <c r="C174" s="202"/>
      <c r="D174" s="203"/>
      <c r="E174" s="203"/>
      <c r="F174" s="100"/>
      <c r="G174" s="177"/>
      <c r="H174" s="177"/>
      <c r="I174" s="177"/>
      <c r="J174" s="177"/>
      <c r="K174" s="177"/>
      <c r="L174" s="177"/>
      <c r="M174" s="203">
        <v>12918.25</v>
      </c>
      <c r="N174" s="176"/>
    </row>
    <row r="175" spans="1:18" ht="18" customHeight="1" x14ac:dyDescent="0.25">
      <c r="A175" s="160" t="s">
        <v>171</v>
      </c>
      <c r="B175" s="158"/>
      <c r="C175" s="198">
        <f>+C182</f>
        <v>8800</v>
      </c>
      <c r="D175" s="198">
        <f>+D182</f>
        <v>8800</v>
      </c>
      <c r="E175" s="198">
        <f>+E182</f>
        <v>12300.35</v>
      </c>
      <c r="F175" s="179">
        <f t="shared" ref="F175" si="127">+F179</f>
        <v>0</v>
      </c>
      <c r="G175" s="179">
        <f t="shared" ref="G175" si="128">+G179</f>
        <v>0</v>
      </c>
      <c r="H175" s="179">
        <f t="shared" ref="H175" si="129">+H179</f>
        <v>0</v>
      </c>
      <c r="I175" s="179">
        <f t="shared" ref="I175" si="130">+I179</f>
        <v>0</v>
      </c>
      <c r="J175" s="179">
        <f t="shared" ref="J175" si="131">+J179</f>
        <v>0</v>
      </c>
      <c r="K175" s="179">
        <f t="shared" ref="K175" si="132">+K179</f>
        <v>0</v>
      </c>
      <c r="L175" s="179">
        <f t="shared" ref="L175" si="133">+L179</f>
        <v>0</v>
      </c>
      <c r="M175" s="198">
        <f>+M179+M182+M176</f>
        <v>16732.310000000001</v>
      </c>
      <c r="N175" s="165">
        <f>+M175/E175*100</f>
        <v>136.03116984476051</v>
      </c>
    </row>
    <row r="176" spans="1:18" ht="18" customHeight="1" x14ac:dyDescent="0.25">
      <c r="A176" s="10">
        <v>64</v>
      </c>
      <c r="B176" s="52" t="s">
        <v>23</v>
      </c>
      <c r="C176" s="204"/>
      <c r="D176" s="204"/>
      <c r="E176" s="204"/>
      <c r="F176" s="180"/>
      <c r="G176" s="180"/>
      <c r="H176" s="180"/>
      <c r="I176" s="180"/>
      <c r="J176" s="180"/>
      <c r="K176" s="180"/>
      <c r="L176" s="180"/>
      <c r="M176" s="204">
        <f>+M177</f>
        <v>1.08</v>
      </c>
      <c r="N176" s="181"/>
    </row>
    <row r="177" spans="1:14" ht="18" customHeight="1" x14ac:dyDescent="0.25">
      <c r="A177" s="10">
        <v>641</v>
      </c>
      <c r="B177" s="52" t="s">
        <v>24</v>
      </c>
      <c r="C177" s="204"/>
      <c r="D177" s="204"/>
      <c r="E177" s="204"/>
      <c r="F177" s="180"/>
      <c r="G177" s="180"/>
      <c r="H177" s="180"/>
      <c r="I177" s="180"/>
      <c r="J177" s="180"/>
      <c r="K177" s="180"/>
      <c r="L177" s="180"/>
      <c r="M177" s="204">
        <f>+M178</f>
        <v>1.08</v>
      </c>
      <c r="N177" s="181"/>
    </row>
    <row r="178" spans="1:14" ht="18" customHeight="1" x14ac:dyDescent="0.25">
      <c r="A178" s="15">
        <v>6413</v>
      </c>
      <c r="B178" s="53" t="s">
        <v>25</v>
      </c>
      <c r="C178" s="204"/>
      <c r="D178" s="204"/>
      <c r="E178" s="204"/>
      <c r="F178" s="180"/>
      <c r="G178" s="180"/>
      <c r="H178" s="180"/>
      <c r="I178" s="180"/>
      <c r="J178" s="180"/>
      <c r="K178" s="180"/>
      <c r="L178" s="180"/>
      <c r="M178" s="204">
        <v>1.08</v>
      </c>
      <c r="N178" s="181"/>
    </row>
    <row r="179" spans="1:14" ht="18" customHeight="1" x14ac:dyDescent="0.25">
      <c r="A179" s="10">
        <v>65</v>
      </c>
      <c r="B179" s="52" t="s">
        <v>26</v>
      </c>
      <c r="C179" s="200"/>
      <c r="D179" s="201"/>
      <c r="E179" s="201"/>
      <c r="F179" s="99"/>
      <c r="G179" s="176"/>
      <c r="H179" s="176"/>
      <c r="I179" s="176"/>
      <c r="J179" s="176"/>
      <c r="K179" s="176"/>
      <c r="L179" s="176"/>
      <c r="M179" s="201">
        <f>+M180</f>
        <v>0</v>
      </c>
      <c r="N179" s="176"/>
    </row>
    <row r="180" spans="1:14" ht="18" customHeight="1" x14ac:dyDescent="0.25">
      <c r="A180" s="10">
        <v>652</v>
      </c>
      <c r="B180" s="52" t="s">
        <v>27</v>
      </c>
      <c r="C180" s="200"/>
      <c r="D180" s="201"/>
      <c r="E180" s="201"/>
      <c r="F180" s="99"/>
      <c r="G180" s="176"/>
      <c r="H180" s="176"/>
      <c r="I180" s="176"/>
      <c r="J180" s="176"/>
      <c r="K180" s="176"/>
      <c r="L180" s="176"/>
      <c r="M180" s="201">
        <f>+M181</f>
        <v>0</v>
      </c>
      <c r="N180" s="176"/>
    </row>
    <row r="181" spans="1:14" ht="18" customHeight="1" x14ac:dyDescent="0.25">
      <c r="A181" s="15">
        <v>6526</v>
      </c>
      <c r="B181" s="53" t="s">
        <v>28</v>
      </c>
      <c r="C181" s="202"/>
      <c r="D181" s="203"/>
      <c r="E181" s="203"/>
      <c r="F181" s="100"/>
      <c r="G181" s="177"/>
      <c r="H181" s="177"/>
      <c r="I181" s="177"/>
      <c r="J181" s="177"/>
      <c r="K181" s="177"/>
      <c r="L181" s="177"/>
      <c r="M181" s="203"/>
      <c r="N181" s="176"/>
    </row>
    <row r="182" spans="1:14" ht="18" customHeight="1" x14ac:dyDescent="0.25">
      <c r="A182" s="10">
        <v>66</v>
      </c>
      <c r="B182" s="54" t="s">
        <v>29</v>
      </c>
      <c r="C182" s="205">
        <f>+C183</f>
        <v>8800</v>
      </c>
      <c r="D182" s="205">
        <f>+D183</f>
        <v>8800</v>
      </c>
      <c r="E182" s="205">
        <f>+E183</f>
        <v>12300.35</v>
      </c>
      <c r="F182" s="176"/>
      <c r="G182" s="176"/>
      <c r="H182" s="176"/>
      <c r="I182" s="176"/>
      <c r="J182" s="176"/>
      <c r="K182" s="176"/>
      <c r="L182" s="176"/>
      <c r="M182" s="205">
        <f>+M183</f>
        <v>16731.23</v>
      </c>
      <c r="N182" s="176"/>
    </row>
    <row r="183" spans="1:14" ht="18" customHeight="1" x14ac:dyDescent="0.25">
      <c r="A183" s="10">
        <v>661</v>
      </c>
      <c r="B183" s="54" t="s">
        <v>30</v>
      </c>
      <c r="C183" s="202">
        <v>8800</v>
      </c>
      <c r="D183" s="203">
        <v>8800</v>
      </c>
      <c r="E183" s="203">
        <f>4000.35+8300</f>
        <v>12300.35</v>
      </c>
      <c r="F183" s="100"/>
      <c r="G183" s="177"/>
      <c r="H183" s="177"/>
      <c r="I183" s="177"/>
      <c r="J183" s="177"/>
      <c r="K183" s="177"/>
      <c r="L183" s="177"/>
      <c r="M183" s="203">
        <f>+M184+M185</f>
        <v>16731.23</v>
      </c>
      <c r="N183" s="176"/>
    </row>
    <row r="184" spans="1:14" ht="18" customHeight="1" x14ac:dyDescent="0.25">
      <c r="A184" s="15">
        <v>6614</v>
      </c>
      <c r="B184" s="55" t="s">
        <v>31</v>
      </c>
      <c r="C184" s="202"/>
      <c r="D184" s="203"/>
      <c r="E184" s="203"/>
      <c r="F184" s="100"/>
      <c r="G184" s="177"/>
      <c r="H184" s="177"/>
      <c r="I184" s="177"/>
      <c r="J184" s="177"/>
      <c r="K184" s="177"/>
      <c r="L184" s="177"/>
      <c r="M184" s="203">
        <v>9676.4</v>
      </c>
      <c r="N184" s="176"/>
    </row>
    <row r="185" spans="1:14" ht="18" customHeight="1" x14ac:dyDescent="0.25">
      <c r="A185" s="15">
        <v>6615</v>
      </c>
      <c r="B185" s="55" t="s">
        <v>32</v>
      </c>
      <c r="C185" s="205"/>
      <c r="D185" s="205"/>
      <c r="E185" s="205"/>
      <c r="F185" s="176"/>
      <c r="G185" s="176"/>
      <c r="H185" s="176"/>
      <c r="I185" s="176"/>
      <c r="J185" s="176"/>
      <c r="K185" s="176"/>
      <c r="L185" s="176"/>
      <c r="M185" s="205">
        <v>7054.83</v>
      </c>
      <c r="N185" s="176"/>
    </row>
    <row r="186" spans="1:14" ht="18" customHeight="1" x14ac:dyDescent="0.25">
      <c r="A186" s="160" t="s">
        <v>174</v>
      </c>
      <c r="B186" s="158"/>
      <c r="C186" s="198">
        <f t="shared" ref="C186:E187" si="134">+C187</f>
        <v>20000</v>
      </c>
      <c r="D186" s="198">
        <f t="shared" si="134"/>
        <v>11334</v>
      </c>
      <c r="E186" s="198">
        <f t="shared" si="134"/>
        <v>11334.12</v>
      </c>
      <c r="F186" s="179">
        <f t="shared" ref="F186" si="135">+F190</f>
        <v>0</v>
      </c>
      <c r="G186" s="179">
        <f t="shared" ref="G186" si="136">+G190</f>
        <v>0</v>
      </c>
      <c r="H186" s="179">
        <f t="shared" ref="H186" si="137">+H190</f>
        <v>0</v>
      </c>
      <c r="I186" s="179">
        <f t="shared" ref="I186" si="138">+I190</f>
        <v>0</v>
      </c>
      <c r="J186" s="179">
        <f t="shared" ref="J186" si="139">+J190</f>
        <v>0</v>
      </c>
      <c r="K186" s="179">
        <f t="shared" ref="K186" si="140">+K190</f>
        <v>0</v>
      </c>
      <c r="L186" s="179">
        <f t="shared" ref="L186" si="141">+L190</f>
        <v>0</v>
      </c>
      <c r="M186" s="198">
        <f>+M187</f>
        <v>7726.55</v>
      </c>
      <c r="N186" s="165">
        <f>+M186/E186*100</f>
        <v>68.170709327234931</v>
      </c>
    </row>
    <row r="187" spans="1:14" ht="18" customHeight="1" x14ac:dyDescent="0.25">
      <c r="A187" s="10">
        <v>66</v>
      </c>
      <c r="B187" s="183" t="s">
        <v>29</v>
      </c>
      <c r="C187" s="205">
        <f t="shared" si="134"/>
        <v>20000</v>
      </c>
      <c r="D187" s="205">
        <f t="shared" si="134"/>
        <v>11334</v>
      </c>
      <c r="E187" s="205">
        <f t="shared" si="134"/>
        <v>11334.12</v>
      </c>
      <c r="F187" s="176"/>
      <c r="G187" s="176"/>
      <c r="H187" s="176"/>
      <c r="I187" s="176"/>
      <c r="J187" s="176"/>
      <c r="K187" s="176"/>
      <c r="L187" s="176"/>
      <c r="M187" s="205">
        <f>+M188</f>
        <v>7726.55</v>
      </c>
      <c r="N187" s="176"/>
    </row>
    <row r="188" spans="1:14" ht="18" customHeight="1" x14ac:dyDescent="0.25">
      <c r="A188" s="10">
        <v>663</v>
      </c>
      <c r="B188" s="183" t="s">
        <v>33</v>
      </c>
      <c r="C188" s="205">
        <f>+C189</f>
        <v>20000</v>
      </c>
      <c r="D188" s="205">
        <v>11334</v>
      </c>
      <c r="E188" s="205">
        <v>11334.12</v>
      </c>
      <c r="F188" s="176"/>
      <c r="G188" s="176"/>
      <c r="H188" s="176"/>
      <c r="I188" s="176"/>
      <c r="J188" s="176"/>
      <c r="K188" s="176"/>
      <c r="L188" s="176"/>
      <c r="M188" s="205">
        <f>+M189+M190</f>
        <v>7726.55</v>
      </c>
      <c r="N188" s="176"/>
    </row>
    <row r="189" spans="1:14" ht="18" customHeight="1" x14ac:dyDescent="0.25">
      <c r="A189" s="15">
        <v>6631</v>
      </c>
      <c r="B189" s="184" t="s">
        <v>34</v>
      </c>
      <c r="C189" s="206">
        <v>20000</v>
      </c>
      <c r="D189" s="205"/>
      <c r="E189" s="205"/>
      <c r="F189" s="176"/>
      <c r="G189" s="176"/>
      <c r="H189" s="176"/>
      <c r="I189" s="176"/>
      <c r="J189" s="176"/>
      <c r="K189" s="176"/>
      <c r="L189" s="176"/>
      <c r="M189" s="205">
        <v>2488.66</v>
      </c>
      <c r="N189" s="176"/>
    </row>
    <row r="190" spans="1:14" ht="18" customHeight="1" x14ac:dyDescent="0.25">
      <c r="A190" s="15">
        <v>6632</v>
      </c>
      <c r="B190" s="184" t="s">
        <v>207</v>
      </c>
      <c r="C190" s="206"/>
      <c r="D190" s="205"/>
      <c r="E190" s="205"/>
      <c r="F190" s="176"/>
      <c r="G190" s="176"/>
      <c r="H190" s="176"/>
      <c r="I190" s="176"/>
      <c r="J190" s="176"/>
      <c r="K190" s="176"/>
      <c r="L190" s="176"/>
      <c r="M190" s="205">
        <v>5237.8900000000003</v>
      </c>
      <c r="N190" s="176"/>
    </row>
    <row r="191" spans="1:14" ht="18" customHeight="1" x14ac:dyDescent="0.25">
      <c r="A191" s="178"/>
      <c r="B191" s="182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</row>
    <row r="192" spans="1:14" ht="18" customHeight="1" x14ac:dyDescent="0.25">
      <c r="A192" s="178"/>
      <c r="B192" s="182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</row>
    <row r="193" spans="1:17" ht="18" customHeight="1" x14ac:dyDescent="0.25">
      <c r="A193" s="178"/>
      <c r="B193" s="182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</row>
    <row r="194" spans="1:17" ht="18" customHeight="1" x14ac:dyDescent="0.25">
      <c r="A194" s="178"/>
      <c r="B194" s="182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</row>
    <row r="195" spans="1:17" ht="18" customHeight="1" x14ac:dyDescent="0.25">
      <c r="A195" s="178"/>
      <c r="B195" s="182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</row>
    <row r="196" spans="1:17" ht="18" customHeight="1" x14ac:dyDescent="0.25">
      <c r="A196" s="178"/>
      <c r="B196" s="182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</row>
    <row r="197" spans="1:17" ht="18" customHeight="1" x14ac:dyDescent="0.25">
      <c r="A197" s="178"/>
      <c r="B197" s="182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</row>
    <row r="198" spans="1:17" ht="18" customHeight="1" x14ac:dyDescent="0.25">
      <c r="A198" s="178"/>
      <c r="B198" s="193" t="s">
        <v>184</v>
      </c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</row>
    <row r="199" spans="1:17" ht="57.75" customHeight="1" x14ac:dyDescent="0.25">
      <c r="A199" s="142" t="s">
        <v>123</v>
      </c>
      <c r="B199" s="143" t="s">
        <v>124</v>
      </c>
      <c r="C199" s="142" t="s">
        <v>191</v>
      </c>
      <c r="D199" s="142" t="s">
        <v>192</v>
      </c>
      <c r="E199" s="142" t="s">
        <v>209</v>
      </c>
      <c r="F199" s="142" t="s">
        <v>126</v>
      </c>
      <c r="G199" s="142" t="s">
        <v>127</v>
      </c>
      <c r="H199" s="142" t="s">
        <v>26</v>
      </c>
      <c r="I199" s="142" t="s">
        <v>128</v>
      </c>
      <c r="J199" s="142" t="s">
        <v>103</v>
      </c>
      <c r="K199" s="142" t="s">
        <v>129</v>
      </c>
      <c r="L199" s="142" t="s">
        <v>130</v>
      </c>
      <c r="M199" s="142" t="s">
        <v>210</v>
      </c>
      <c r="N199" s="142" t="s">
        <v>175</v>
      </c>
    </row>
    <row r="200" spans="1:17" ht="18" customHeight="1" x14ac:dyDescent="0.25">
      <c r="A200" s="142">
        <v>1</v>
      </c>
      <c r="B200" s="142">
        <v>2</v>
      </c>
      <c r="C200" s="142">
        <v>3</v>
      </c>
      <c r="D200" s="142">
        <v>4</v>
      </c>
      <c r="E200" s="142">
        <v>4</v>
      </c>
      <c r="F200" s="142"/>
      <c r="G200" s="142"/>
      <c r="H200" s="142"/>
      <c r="I200" s="142"/>
      <c r="J200" s="142"/>
      <c r="K200" s="142"/>
      <c r="L200" s="142"/>
      <c r="M200" s="142">
        <v>5</v>
      </c>
      <c r="N200" s="142" t="s">
        <v>183</v>
      </c>
    </row>
    <row r="201" spans="1:17" ht="18" customHeight="1" x14ac:dyDescent="0.25">
      <c r="A201" s="185"/>
      <c r="B201" s="185" t="s">
        <v>104</v>
      </c>
      <c r="C201" s="197">
        <f>+C202+C205+C208+C211</f>
        <v>-76500</v>
      </c>
      <c r="D201" s="197">
        <f>+D202+D205+D208+D211</f>
        <v>-103039</v>
      </c>
      <c r="E201" s="197">
        <f>+E202+E205+E208+E211</f>
        <v>-103039</v>
      </c>
      <c r="F201" s="185"/>
      <c r="G201" s="185"/>
      <c r="H201" s="185"/>
      <c r="I201" s="185"/>
      <c r="J201" s="185"/>
      <c r="K201" s="185"/>
      <c r="L201" s="185"/>
      <c r="M201" s="197">
        <f>+M202+M205+M208+M211</f>
        <v>-103739.43000000001</v>
      </c>
      <c r="N201" s="192">
        <f t="shared" ref="N201:N213" si="142">+M201/E201*100</f>
        <v>100.67977173691516</v>
      </c>
      <c r="Q201" s="96"/>
    </row>
    <row r="202" spans="1:17" ht="18" customHeight="1" x14ac:dyDescent="0.25">
      <c r="A202" s="160" t="s">
        <v>170</v>
      </c>
      <c r="B202" s="158"/>
      <c r="C202" s="198">
        <f t="shared" ref="C202:E202" si="143">+C203+C221</f>
        <v>-70500</v>
      </c>
      <c r="D202" s="198">
        <f t="shared" ref="D202" si="144">+D203+D221</f>
        <v>-117346</v>
      </c>
      <c r="E202" s="198">
        <f t="shared" si="143"/>
        <v>-117346</v>
      </c>
      <c r="F202" s="179">
        <f t="shared" ref="F202" si="145">+F203+F221</f>
        <v>0</v>
      </c>
      <c r="G202" s="179">
        <f t="shared" ref="G202" si="146">+G203+G221</f>
        <v>0</v>
      </c>
      <c r="H202" s="179">
        <f t="shared" ref="H202" si="147">+H203+H221</f>
        <v>0</v>
      </c>
      <c r="I202" s="179">
        <f t="shared" ref="I202" si="148">+I203+I221</f>
        <v>0</v>
      </c>
      <c r="J202" s="179">
        <f t="shared" ref="J202" si="149">+J203+J221</f>
        <v>0</v>
      </c>
      <c r="K202" s="179">
        <f t="shared" ref="K202" si="150">+K203+K221</f>
        <v>0</v>
      </c>
      <c r="L202" s="179">
        <f t="shared" ref="L202" si="151">+L203+L221</f>
        <v>0</v>
      </c>
      <c r="M202" s="198">
        <f t="shared" ref="M202" si="152">+M203+M221</f>
        <v>-117345.94</v>
      </c>
      <c r="N202" s="179">
        <f t="shared" si="142"/>
        <v>99.999948869156171</v>
      </c>
    </row>
    <row r="203" spans="1:17" ht="18" customHeight="1" x14ac:dyDescent="0.25">
      <c r="A203" s="189">
        <v>922</v>
      </c>
      <c r="B203" s="189" t="s">
        <v>185</v>
      </c>
      <c r="C203" s="199">
        <f>+C204</f>
        <v>-70500</v>
      </c>
      <c r="D203" s="199">
        <f>+D204</f>
        <v>-117346</v>
      </c>
      <c r="E203" s="199">
        <f>+E204</f>
        <v>-117346</v>
      </c>
      <c r="F203" s="189"/>
      <c r="G203" s="189"/>
      <c r="H203" s="189"/>
      <c r="I203" s="189"/>
      <c r="J203" s="189"/>
      <c r="K203" s="189"/>
      <c r="L203" s="189"/>
      <c r="M203" s="199">
        <f>+M204</f>
        <v>-117345.94</v>
      </c>
      <c r="N203" s="194">
        <f t="shared" si="142"/>
        <v>99.999948869156171</v>
      </c>
    </row>
    <row r="204" spans="1:17" ht="18" customHeight="1" x14ac:dyDescent="0.25">
      <c r="A204" s="190">
        <v>9222</v>
      </c>
      <c r="B204" s="191" t="s">
        <v>39</v>
      </c>
      <c r="C204" s="199">
        <v>-70500</v>
      </c>
      <c r="D204" s="199">
        <v>-117346</v>
      </c>
      <c r="E204" s="199">
        <v>-117346</v>
      </c>
      <c r="F204" s="189"/>
      <c r="G204" s="189"/>
      <c r="H204" s="189"/>
      <c r="I204" s="189"/>
      <c r="J204" s="189"/>
      <c r="K204" s="189"/>
      <c r="L204" s="189"/>
      <c r="M204" s="199">
        <v>-117345.94</v>
      </c>
      <c r="N204" s="194">
        <f t="shared" si="142"/>
        <v>99.999948869156171</v>
      </c>
    </row>
    <row r="205" spans="1:17" ht="18" customHeight="1" x14ac:dyDescent="0.25">
      <c r="A205" s="160" t="s">
        <v>173</v>
      </c>
      <c r="B205" s="158"/>
      <c r="C205" s="198">
        <f t="shared" ref="C205:E206" si="153">+C206</f>
        <v>-6000</v>
      </c>
      <c r="D205" s="198">
        <f t="shared" si="153"/>
        <v>-7659</v>
      </c>
      <c r="E205" s="198">
        <f t="shared" si="153"/>
        <v>-7659</v>
      </c>
      <c r="F205" s="179">
        <f t="shared" ref="F205" si="154">+F206+F224</f>
        <v>10194449</v>
      </c>
      <c r="G205" s="179">
        <f t="shared" ref="G205" si="155">+G206+G224</f>
        <v>46600</v>
      </c>
      <c r="H205" s="179">
        <f t="shared" ref="H205" si="156">+H206+H224</f>
        <v>12000</v>
      </c>
      <c r="I205" s="179">
        <f t="shared" ref="I205" si="157">+I206+I224</f>
        <v>120000</v>
      </c>
      <c r="J205" s="179">
        <f t="shared" ref="J205" si="158">+J206+J224</f>
        <v>36000</v>
      </c>
      <c r="K205" s="179">
        <f t="shared" ref="K205" si="159">+K206+K224</f>
        <v>0</v>
      </c>
      <c r="L205" s="179">
        <f t="shared" ref="L205" si="160">+L206+L224</f>
        <v>0</v>
      </c>
      <c r="M205" s="198">
        <f>+M206</f>
        <v>-7658.61</v>
      </c>
      <c r="N205" s="195">
        <f t="shared" si="142"/>
        <v>99.994907951429695</v>
      </c>
      <c r="P205" s="34"/>
    </row>
    <row r="206" spans="1:17" ht="18" customHeight="1" x14ac:dyDescent="0.25">
      <c r="A206" s="189">
        <v>922</v>
      </c>
      <c r="B206" s="189" t="s">
        <v>185</v>
      </c>
      <c r="C206" s="199">
        <f t="shared" si="153"/>
        <v>-6000</v>
      </c>
      <c r="D206" s="199">
        <f t="shared" si="153"/>
        <v>-7659</v>
      </c>
      <c r="E206" s="199">
        <f t="shared" si="153"/>
        <v>-7659</v>
      </c>
      <c r="F206" s="189"/>
      <c r="G206" s="189"/>
      <c r="H206" s="189"/>
      <c r="I206" s="189"/>
      <c r="J206" s="189"/>
      <c r="K206" s="189"/>
      <c r="L206" s="189"/>
      <c r="M206" s="199">
        <f>+M207</f>
        <v>-7658.61</v>
      </c>
      <c r="N206" s="194">
        <f t="shared" si="142"/>
        <v>99.994907951429695</v>
      </c>
    </row>
    <row r="207" spans="1:17" ht="18" customHeight="1" x14ac:dyDescent="0.25">
      <c r="A207" s="190">
        <v>9222</v>
      </c>
      <c r="B207" s="191" t="s">
        <v>39</v>
      </c>
      <c r="C207" s="199">
        <v>-6000</v>
      </c>
      <c r="D207" s="199">
        <v>-7659</v>
      </c>
      <c r="E207" s="199">
        <v>-7659</v>
      </c>
      <c r="F207" s="189"/>
      <c r="G207" s="189"/>
      <c r="H207" s="189"/>
      <c r="I207" s="189"/>
      <c r="J207" s="189"/>
      <c r="K207" s="189"/>
      <c r="L207" s="189"/>
      <c r="M207" s="199">
        <v>-7658.61</v>
      </c>
      <c r="N207" s="194">
        <f>+M207/E207*100</f>
        <v>99.994907951429695</v>
      </c>
    </row>
    <row r="208" spans="1:17" ht="18" customHeight="1" x14ac:dyDescent="0.25">
      <c r="A208" s="160" t="s">
        <v>171</v>
      </c>
      <c r="B208" s="158"/>
      <c r="C208" s="198">
        <f>+C215</f>
        <v>0</v>
      </c>
      <c r="D208" s="198">
        <f>+D209</f>
        <v>13300</v>
      </c>
      <c r="E208" s="198">
        <f>+E209</f>
        <v>13300</v>
      </c>
      <c r="F208" s="179">
        <f t="shared" ref="F208:L208" si="161">+F215</f>
        <v>0</v>
      </c>
      <c r="G208" s="179">
        <f t="shared" si="161"/>
        <v>0</v>
      </c>
      <c r="H208" s="179">
        <f t="shared" si="161"/>
        <v>0</v>
      </c>
      <c r="I208" s="179">
        <f t="shared" si="161"/>
        <v>0</v>
      </c>
      <c r="J208" s="179">
        <f t="shared" si="161"/>
        <v>0</v>
      </c>
      <c r="K208" s="179">
        <f t="shared" si="161"/>
        <v>0</v>
      </c>
      <c r="L208" s="179">
        <f t="shared" si="161"/>
        <v>0</v>
      </c>
      <c r="M208" s="198">
        <f>+M209</f>
        <v>13299.65</v>
      </c>
      <c r="N208" s="179">
        <f t="shared" si="142"/>
        <v>99.997368421052627</v>
      </c>
    </row>
    <row r="209" spans="1:16" ht="18" customHeight="1" x14ac:dyDescent="0.25">
      <c r="A209" s="189">
        <v>922</v>
      </c>
      <c r="B209" s="189" t="s">
        <v>185</v>
      </c>
      <c r="C209" s="199"/>
      <c r="D209" s="199">
        <f>+D210</f>
        <v>13300</v>
      </c>
      <c r="E209" s="199">
        <f>+E210</f>
        <v>13300</v>
      </c>
      <c r="F209" s="189"/>
      <c r="G209" s="189"/>
      <c r="H209" s="189"/>
      <c r="I209" s="189"/>
      <c r="J209" s="189"/>
      <c r="K209" s="189"/>
      <c r="L209" s="189"/>
      <c r="M209" s="199">
        <f>+M210</f>
        <v>13299.65</v>
      </c>
      <c r="N209" s="194">
        <f t="shared" si="142"/>
        <v>99.997368421052627</v>
      </c>
    </row>
    <row r="210" spans="1:16" ht="18" customHeight="1" x14ac:dyDescent="0.25">
      <c r="A210" s="190">
        <v>9221</v>
      </c>
      <c r="B210" s="191" t="s">
        <v>39</v>
      </c>
      <c r="C210" s="199"/>
      <c r="D210" s="199">
        <v>13300</v>
      </c>
      <c r="E210" s="199">
        <v>13300</v>
      </c>
      <c r="F210" s="189"/>
      <c r="G210" s="189"/>
      <c r="H210" s="189"/>
      <c r="I210" s="189"/>
      <c r="J210" s="189"/>
      <c r="K210" s="189"/>
      <c r="L210" s="189"/>
      <c r="M210" s="199">
        <v>13299.65</v>
      </c>
      <c r="N210" s="194">
        <f t="shared" si="142"/>
        <v>99.997368421052627</v>
      </c>
    </row>
    <row r="211" spans="1:16" ht="18" customHeight="1" x14ac:dyDescent="0.25">
      <c r="A211" s="160" t="s">
        <v>174</v>
      </c>
      <c r="B211" s="158"/>
      <c r="C211" s="198">
        <f t="shared" ref="C211" si="162">+C215</f>
        <v>0</v>
      </c>
      <c r="D211" s="198">
        <f>+D212</f>
        <v>8666</v>
      </c>
      <c r="E211" s="198">
        <f>+E212</f>
        <v>8666</v>
      </c>
      <c r="F211" s="179">
        <f t="shared" ref="F211" si="163">+F215</f>
        <v>0</v>
      </c>
      <c r="G211" s="179">
        <f t="shared" ref="G211" si="164">+G215</f>
        <v>0</v>
      </c>
      <c r="H211" s="179">
        <f t="shared" ref="H211" si="165">+H215</f>
        <v>0</v>
      </c>
      <c r="I211" s="179">
        <f t="shared" ref="I211" si="166">+I215</f>
        <v>0</v>
      </c>
      <c r="J211" s="179">
        <f t="shared" ref="J211" si="167">+J215</f>
        <v>0</v>
      </c>
      <c r="K211" s="179">
        <f t="shared" ref="K211" si="168">+K215</f>
        <v>0</v>
      </c>
      <c r="L211" s="179">
        <f t="shared" ref="L211" si="169">+L215</f>
        <v>0</v>
      </c>
      <c r="M211" s="198">
        <f>+M212</f>
        <v>7965.47</v>
      </c>
      <c r="N211" s="195">
        <f t="shared" si="142"/>
        <v>91.916339718439886</v>
      </c>
    </row>
    <row r="212" spans="1:16" ht="18" customHeight="1" x14ac:dyDescent="0.25">
      <c r="A212" s="189">
        <v>922</v>
      </c>
      <c r="B212" s="189" t="s">
        <v>185</v>
      </c>
      <c r="C212" s="199"/>
      <c r="D212" s="199">
        <f>+D213</f>
        <v>8666</v>
      </c>
      <c r="E212" s="199">
        <f>+E213</f>
        <v>8666</v>
      </c>
      <c r="F212" s="189"/>
      <c r="G212" s="189"/>
      <c r="H212" s="189"/>
      <c r="I212" s="189"/>
      <c r="J212" s="189"/>
      <c r="K212" s="189"/>
      <c r="L212" s="189"/>
      <c r="M212" s="199">
        <f>+M213</f>
        <v>7965.47</v>
      </c>
      <c r="N212" s="194">
        <f t="shared" si="142"/>
        <v>91.916339718439886</v>
      </c>
    </row>
    <row r="213" spans="1:16" ht="18" customHeight="1" x14ac:dyDescent="0.25">
      <c r="A213" s="190">
        <v>9221</v>
      </c>
      <c r="B213" s="191" t="s">
        <v>39</v>
      </c>
      <c r="C213" s="199"/>
      <c r="D213" s="199">
        <v>8666</v>
      </c>
      <c r="E213" s="199">
        <v>8666</v>
      </c>
      <c r="F213" s="189"/>
      <c r="G213" s="189"/>
      <c r="H213" s="189"/>
      <c r="I213" s="189"/>
      <c r="J213" s="189"/>
      <c r="K213" s="189"/>
      <c r="L213" s="189"/>
      <c r="M213" s="199">
        <v>7965.47</v>
      </c>
      <c r="N213" s="194">
        <f t="shared" si="142"/>
        <v>91.916339718439886</v>
      </c>
    </row>
    <row r="214" spans="1:16" ht="18" customHeight="1" x14ac:dyDescent="0.25">
      <c r="A214" s="178"/>
      <c r="B214" s="26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</row>
    <row r="215" spans="1:16" ht="18" customHeight="1" x14ac:dyDescent="0.25">
      <c r="A215" s="178"/>
      <c r="B215" s="26"/>
      <c r="C215" s="174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</row>
    <row r="216" spans="1:16" ht="18" customHeight="1" x14ac:dyDescent="0.25">
      <c r="A216" s="178"/>
      <c r="B216" s="26"/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4"/>
    </row>
    <row r="217" spans="1:16" ht="18" customHeight="1" x14ac:dyDescent="0.25">
      <c r="A217" s="178"/>
      <c r="B217" s="26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</row>
    <row r="218" spans="1:16" ht="18" customHeight="1" x14ac:dyDescent="0.25">
      <c r="A218" s="178"/>
      <c r="B218" s="26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</row>
    <row r="219" spans="1:16" ht="18" customHeight="1" x14ac:dyDescent="0.25">
      <c r="A219" s="178"/>
      <c r="B219" s="26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</row>
    <row r="220" spans="1:16" ht="18" customHeight="1" x14ac:dyDescent="0.25">
      <c r="A220" s="174"/>
      <c r="B220" s="157" t="s">
        <v>179</v>
      </c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</row>
    <row r="221" spans="1:16" ht="18" customHeight="1" x14ac:dyDescent="0.25">
      <c r="A221" s="174"/>
      <c r="B221" s="174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  <c r="M221" s="174"/>
      <c r="N221" s="174"/>
    </row>
    <row r="222" spans="1:16" ht="52.5" customHeight="1" x14ac:dyDescent="0.25">
      <c r="A222" s="142" t="s">
        <v>123</v>
      </c>
      <c r="B222" s="143" t="s">
        <v>124</v>
      </c>
      <c r="C222" s="142" t="s">
        <v>191</v>
      </c>
      <c r="D222" s="142" t="s">
        <v>192</v>
      </c>
      <c r="E222" s="142" t="s">
        <v>209</v>
      </c>
      <c r="F222" s="142" t="s">
        <v>126</v>
      </c>
      <c r="G222" s="142" t="s">
        <v>127</v>
      </c>
      <c r="H222" s="142" t="s">
        <v>26</v>
      </c>
      <c r="I222" s="142" t="s">
        <v>128</v>
      </c>
      <c r="J222" s="142" t="s">
        <v>103</v>
      </c>
      <c r="K222" s="142" t="s">
        <v>129</v>
      </c>
      <c r="L222" s="142" t="s">
        <v>130</v>
      </c>
      <c r="M222" s="142" t="s">
        <v>210</v>
      </c>
      <c r="N222" s="142" t="s">
        <v>175</v>
      </c>
    </row>
    <row r="223" spans="1:16" ht="18" customHeight="1" x14ac:dyDescent="0.25">
      <c r="A223" s="142">
        <v>1</v>
      </c>
      <c r="B223" s="142">
        <v>2</v>
      </c>
      <c r="C223" s="142">
        <v>5</v>
      </c>
      <c r="D223" s="142">
        <v>5</v>
      </c>
      <c r="E223" s="142">
        <v>5</v>
      </c>
      <c r="F223" s="142"/>
      <c r="G223" s="142"/>
      <c r="H223" s="142"/>
      <c r="I223" s="142"/>
      <c r="J223" s="142"/>
      <c r="K223" s="142"/>
      <c r="L223" s="142"/>
      <c r="M223" s="142">
        <v>6</v>
      </c>
      <c r="N223" s="142" t="s">
        <v>176</v>
      </c>
    </row>
    <row r="224" spans="1:16" x14ac:dyDescent="0.25">
      <c r="A224" s="224" t="s">
        <v>104</v>
      </c>
      <c r="B224" s="225"/>
      <c r="C224" s="144">
        <f>+C227+C261+C303+C323+C333+C341+C359+C372+C377+C397+C367</f>
        <v>9418064</v>
      </c>
      <c r="D224" s="144">
        <f>+D227+D261+D303+D323+D333+D341+D359+D372+D377+D397+D367</f>
        <v>10682493</v>
      </c>
      <c r="E224" s="144">
        <f>+E227+E261+E303+E323+E333+E341+E359+E372+E377+E397+E367</f>
        <v>11877944</v>
      </c>
      <c r="F224" s="144">
        <f t="shared" ref="F224:L224" si="170">+F227+F261+F303+F323+F333+F341+F359+F372+F377+F397</f>
        <v>10194449</v>
      </c>
      <c r="G224" s="144">
        <f t="shared" si="170"/>
        <v>46600</v>
      </c>
      <c r="H224" s="144">
        <f t="shared" si="170"/>
        <v>12000</v>
      </c>
      <c r="I224" s="144">
        <f t="shared" si="170"/>
        <v>120000</v>
      </c>
      <c r="J224" s="144">
        <f t="shared" si="170"/>
        <v>36000</v>
      </c>
      <c r="K224" s="144">
        <f t="shared" si="170"/>
        <v>0</v>
      </c>
      <c r="L224" s="144">
        <f t="shared" si="170"/>
        <v>0</v>
      </c>
      <c r="M224" s="144">
        <f>+M227+M261+M303+M323+M333+M341+M359+M372+M377+M397+M367</f>
        <v>11645500.930000002</v>
      </c>
      <c r="N224" s="162">
        <f t="shared" ref="N224:N230" si="171">+M224/E224*100</f>
        <v>98.043069827572864</v>
      </c>
      <c r="P224" s="96"/>
    </row>
    <row r="225" spans="1:16" ht="15.75" customHeight="1" x14ac:dyDescent="0.25">
      <c r="A225" s="145" t="s">
        <v>131</v>
      </c>
      <c r="B225" s="145" t="s">
        <v>132</v>
      </c>
      <c r="C225" s="146">
        <f t="shared" ref="C225:L227" si="172">+C226</f>
        <v>231264</v>
      </c>
      <c r="D225" s="146">
        <f t="shared" si="172"/>
        <v>197493</v>
      </c>
      <c r="E225" s="146">
        <f t="shared" si="172"/>
        <v>2151784</v>
      </c>
      <c r="F225" s="146">
        <f t="shared" si="172"/>
        <v>321264</v>
      </c>
      <c r="G225" s="146">
        <f t="shared" si="172"/>
        <v>0</v>
      </c>
      <c r="H225" s="146">
        <f t="shared" si="172"/>
        <v>0</v>
      </c>
      <c r="I225" s="146">
        <f t="shared" si="172"/>
        <v>0</v>
      </c>
      <c r="J225" s="146">
        <f t="shared" si="172"/>
        <v>0</v>
      </c>
      <c r="K225" s="146">
        <f t="shared" si="172"/>
        <v>0</v>
      </c>
      <c r="L225" s="146">
        <f t="shared" si="172"/>
        <v>0</v>
      </c>
      <c r="M225" s="146">
        <f>+M226</f>
        <v>2110370.48</v>
      </c>
      <c r="N225" s="163">
        <f t="shared" si="171"/>
        <v>98.075386748855834</v>
      </c>
      <c r="P225" s="96"/>
    </row>
    <row r="226" spans="1:16" ht="15.75" customHeight="1" x14ac:dyDescent="0.25">
      <c r="A226" s="147" t="s">
        <v>133</v>
      </c>
      <c r="B226" s="148" t="s">
        <v>160</v>
      </c>
      <c r="C226" s="149">
        <f t="shared" si="172"/>
        <v>231264</v>
      </c>
      <c r="D226" s="149">
        <f t="shared" si="172"/>
        <v>197493</v>
      </c>
      <c r="E226" s="149">
        <f t="shared" si="172"/>
        <v>2151784</v>
      </c>
      <c r="F226" s="149">
        <f t="shared" si="172"/>
        <v>321264</v>
      </c>
      <c r="G226" s="149">
        <f t="shared" si="172"/>
        <v>0</v>
      </c>
      <c r="H226" s="149">
        <f t="shared" si="172"/>
        <v>0</v>
      </c>
      <c r="I226" s="149">
        <f t="shared" si="172"/>
        <v>0</v>
      </c>
      <c r="J226" s="149">
        <f t="shared" si="172"/>
        <v>0</v>
      </c>
      <c r="K226" s="149">
        <f t="shared" si="172"/>
        <v>0</v>
      </c>
      <c r="L226" s="149">
        <f t="shared" si="172"/>
        <v>0</v>
      </c>
      <c r="M226" s="149">
        <f>+M227</f>
        <v>2110370.48</v>
      </c>
      <c r="N226" s="164">
        <f t="shared" si="171"/>
        <v>98.075386748855834</v>
      </c>
    </row>
    <row r="227" spans="1:16" x14ac:dyDescent="0.25">
      <c r="A227" s="160" t="s">
        <v>170</v>
      </c>
      <c r="B227" s="158"/>
      <c r="C227" s="159">
        <f t="shared" si="172"/>
        <v>231264</v>
      </c>
      <c r="D227" s="159">
        <f t="shared" si="172"/>
        <v>197493</v>
      </c>
      <c r="E227" s="159">
        <f>+E228+E255</f>
        <v>2151784</v>
      </c>
      <c r="F227" s="159">
        <f t="shared" si="172"/>
        <v>321264</v>
      </c>
      <c r="G227" s="159">
        <f t="shared" si="172"/>
        <v>0</v>
      </c>
      <c r="H227" s="159">
        <f t="shared" si="172"/>
        <v>0</v>
      </c>
      <c r="I227" s="159">
        <f t="shared" si="172"/>
        <v>0</v>
      </c>
      <c r="J227" s="159">
        <f t="shared" si="172"/>
        <v>0</v>
      </c>
      <c r="K227" s="159">
        <f t="shared" si="172"/>
        <v>0</v>
      </c>
      <c r="L227" s="159">
        <f t="shared" si="172"/>
        <v>0</v>
      </c>
      <c r="M227" s="159">
        <f>+M228+M255</f>
        <v>2110370.48</v>
      </c>
      <c r="N227" s="165">
        <f t="shared" si="171"/>
        <v>98.075386748855834</v>
      </c>
    </row>
    <row r="228" spans="1:16" ht="15.75" customHeight="1" x14ac:dyDescent="0.25">
      <c r="A228" s="128">
        <v>3</v>
      </c>
      <c r="B228" s="129" t="s">
        <v>41</v>
      </c>
      <c r="C228" s="130">
        <f>C229+C252</f>
        <v>231264</v>
      </c>
      <c r="D228" s="130">
        <f t="shared" ref="D228" si="173">D229+D252</f>
        <v>197493</v>
      </c>
      <c r="E228" s="130">
        <f t="shared" ref="E228:L228" si="174">E229+E252</f>
        <v>251784</v>
      </c>
      <c r="F228" s="130">
        <f t="shared" si="174"/>
        <v>321264</v>
      </c>
      <c r="G228" s="130">
        <f t="shared" si="174"/>
        <v>0</v>
      </c>
      <c r="H228" s="130">
        <f t="shared" si="174"/>
        <v>0</v>
      </c>
      <c r="I228" s="130">
        <f t="shared" si="174"/>
        <v>0</v>
      </c>
      <c r="J228" s="130">
        <f t="shared" si="174"/>
        <v>0</v>
      </c>
      <c r="K228" s="130">
        <f t="shared" si="174"/>
        <v>0</v>
      </c>
      <c r="L228" s="130">
        <f t="shared" si="174"/>
        <v>0</v>
      </c>
      <c r="M228" s="130">
        <f>M229+M252</f>
        <v>294205.58999999997</v>
      </c>
      <c r="N228" s="166">
        <f t="shared" si="171"/>
        <v>116.84840577637974</v>
      </c>
    </row>
    <row r="229" spans="1:16" ht="15.75" customHeight="1" x14ac:dyDescent="0.25">
      <c r="A229" s="128">
        <v>32</v>
      </c>
      <c r="B229" s="129" t="s">
        <v>46</v>
      </c>
      <c r="C229" s="130">
        <f>+C230+C233+C239+C246</f>
        <v>225264</v>
      </c>
      <c r="D229" s="130">
        <f t="shared" ref="D229" si="175">+D230+D233+D239+D246</f>
        <v>189993</v>
      </c>
      <c r="E229" s="130">
        <f t="shared" ref="E229:L229" si="176">+E230+E233+E239+E246</f>
        <v>245284</v>
      </c>
      <c r="F229" s="130">
        <f t="shared" si="176"/>
        <v>315514</v>
      </c>
      <c r="G229" s="130">
        <f t="shared" si="176"/>
        <v>0</v>
      </c>
      <c r="H229" s="130">
        <f t="shared" si="176"/>
        <v>0</v>
      </c>
      <c r="I229" s="130">
        <f t="shared" si="176"/>
        <v>0</v>
      </c>
      <c r="J229" s="130">
        <f t="shared" si="176"/>
        <v>0</v>
      </c>
      <c r="K229" s="130">
        <f t="shared" si="176"/>
        <v>0</v>
      </c>
      <c r="L229" s="130">
        <f t="shared" si="176"/>
        <v>0</v>
      </c>
      <c r="M229" s="130">
        <f>+M230+M233+M239+M246</f>
        <v>287641.07999999996</v>
      </c>
      <c r="N229" s="166">
        <f t="shared" si="171"/>
        <v>117.2685866179612</v>
      </c>
    </row>
    <row r="230" spans="1:16" ht="15.75" customHeight="1" x14ac:dyDescent="0.25">
      <c r="A230" s="128">
        <v>321</v>
      </c>
      <c r="B230" s="129" t="s">
        <v>47</v>
      </c>
      <c r="C230" s="130">
        <v>1800</v>
      </c>
      <c r="D230" s="130">
        <v>1950</v>
      </c>
      <c r="E230" s="130">
        <v>1350</v>
      </c>
      <c r="F230" s="130">
        <f>500+1220</f>
        <v>1720</v>
      </c>
      <c r="G230" s="130"/>
      <c r="H230" s="130"/>
      <c r="I230" s="130"/>
      <c r="J230" s="130"/>
      <c r="K230" s="130"/>
      <c r="L230" s="130"/>
      <c r="M230" s="130">
        <f>SUM(M231:M232)</f>
        <v>1350</v>
      </c>
      <c r="N230" s="166">
        <f t="shared" si="171"/>
        <v>100</v>
      </c>
    </row>
    <row r="231" spans="1:16" ht="15.75" customHeight="1" x14ac:dyDescent="0.25">
      <c r="A231" s="131">
        <v>3211</v>
      </c>
      <c r="B231" s="132" t="s">
        <v>80</v>
      </c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66"/>
    </row>
    <row r="232" spans="1:16" ht="15.75" customHeight="1" x14ac:dyDescent="0.25">
      <c r="A232" s="131">
        <v>3213</v>
      </c>
      <c r="B232" s="132" t="s">
        <v>81</v>
      </c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>
        <v>1350</v>
      </c>
      <c r="N232" s="166"/>
    </row>
    <row r="233" spans="1:16" ht="15.75" customHeight="1" x14ac:dyDescent="0.25">
      <c r="A233" s="128">
        <v>322</v>
      </c>
      <c r="B233" s="129" t="s">
        <v>48</v>
      </c>
      <c r="C233" s="130">
        <v>136314</v>
      </c>
      <c r="D233" s="130">
        <v>108825</v>
      </c>
      <c r="E233" s="130">
        <v>157716</v>
      </c>
      <c r="F233" s="130">
        <f>50+110+36100+190182+250+6000+1438+800</f>
        <v>234930</v>
      </c>
      <c r="G233" s="130"/>
      <c r="H233" s="130"/>
      <c r="I233" s="130"/>
      <c r="J233" s="130"/>
      <c r="K233" s="130"/>
      <c r="L233" s="130"/>
      <c r="M233" s="130">
        <f>SUM(M234:M238)</f>
        <v>203701.51</v>
      </c>
      <c r="N233" s="166">
        <f>+M233/E233*100</f>
        <v>129.15716224099015</v>
      </c>
    </row>
    <row r="234" spans="1:16" ht="15.75" customHeight="1" x14ac:dyDescent="0.25">
      <c r="A234" s="131">
        <v>3221</v>
      </c>
      <c r="B234" s="132" t="s">
        <v>73</v>
      </c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>
        <v>998</v>
      </c>
      <c r="N234" s="167"/>
    </row>
    <row r="235" spans="1:16" ht="15.75" customHeight="1" x14ac:dyDescent="0.25">
      <c r="A235" s="131">
        <v>3223</v>
      </c>
      <c r="B235" s="132" t="s">
        <v>74</v>
      </c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>
        <v>196329.04</v>
      </c>
      <c r="N235" s="167"/>
    </row>
    <row r="236" spans="1:16" ht="15.75" customHeight="1" x14ac:dyDescent="0.25">
      <c r="A236" s="131">
        <v>3224</v>
      </c>
      <c r="B236" s="132" t="s">
        <v>83</v>
      </c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>
        <v>5882.97</v>
      </c>
      <c r="N236" s="167"/>
    </row>
    <row r="237" spans="1:16" ht="15.75" customHeight="1" x14ac:dyDescent="0.25">
      <c r="A237" s="131">
        <v>3225</v>
      </c>
      <c r="B237" s="132" t="s">
        <v>84</v>
      </c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>
        <v>491.5</v>
      </c>
      <c r="N237" s="167"/>
    </row>
    <row r="238" spans="1:16" ht="15.75" customHeight="1" x14ac:dyDescent="0.25">
      <c r="A238" s="131">
        <v>3227</v>
      </c>
      <c r="B238" s="132" t="s">
        <v>85</v>
      </c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>
        <v>0</v>
      </c>
      <c r="N238" s="167"/>
    </row>
    <row r="239" spans="1:16" ht="15.75" customHeight="1" x14ac:dyDescent="0.25">
      <c r="A239" s="128">
        <v>323</v>
      </c>
      <c r="B239" s="129" t="s">
        <v>49</v>
      </c>
      <c r="C239" s="130">
        <v>65150</v>
      </c>
      <c r="D239" s="130">
        <v>53800</v>
      </c>
      <c r="E239" s="130">
        <v>61300</v>
      </c>
      <c r="F239" s="130">
        <f>15000+800+2500+3864+30000+7000+500</f>
        <v>59664</v>
      </c>
      <c r="G239" s="130"/>
      <c r="H239" s="130"/>
      <c r="I239" s="130"/>
      <c r="J239" s="130"/>
      <c r="K239" s="130"/>
      <c r="L239" s="130"/>
      <c r="M239" s="130">
        <f>SUM(M240:M245)</f>
        <v>58040.04</v>
      </c>
      <c r="N239" s="166">
        <f>+M239/E239*100</f>
        <v>94.681957585644369</v>
      </c>
    </row>
    <row r="240" spans="1:16" ht="15.75" customHeight="1" x14ac:dyDescent="0.25">
      <c r="A240" s="131">
        <v>3231</v>
      </c>
      <c r="B240" s="132" t="s">
        <v>75</v>
      </c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>
        <v>12031.49</v>
      </c>
      <c r="N240" s="167"/>
    </row>
    <row r="241" spans="1:14" ht="15.75" customHeight="1" x14ac:dyDescent="0.25">
      <c r="A241" s="131">
        <v>3232</v>
      </c>
      <c r="B241" s="132" t="s">
        <v>76</v>
      </c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>
        <v>2505.79</v>
      </c>
      <c r="N241" s="167"/>
    </row>
    <row r="242" spans="1:14" ht="15.75" customHeight="1" x14ac:dyDescent="0.25">
      <c r="A242" s="131">
        <v>3233</v>
      </c>
      <c r="B242" s="132" t="s">
        <v>117</v>
      </c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67"/>
    </row>
    <row r="243" spans="1:14" ht="15.75" customHeight="1" x14ac:dyDescent="0.25">
      <c r="A243" s="131">
        <v>3234</v>
      </c>
      <c r="B243" s="132" t="s">
        <v>86</v>
      </c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>
        <v>35964.01</v>
      </c>
      <c r="N243" s="167"/>
    </row>
    <row r="244" spans="1:14" ht="15.75" customHeight="1" x14ac:dyDescent="0.25">
      <c r="A244" s="131">
        <v>3238</v>
      </c>
      <c r="B244" s="132" t="s">
        <v>88</v>
      </c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>
        <v>7538.75</v>
      </c>
      <c r="N244" s="167"/>
    </row>
    <row r="245" spans="1:14" ht="15.75" customHeight="1" x14ac:dyDescent="0.25">
      <c r="A245" s="131">
        <v>3239</v>
      </c>
      <c r="B245" s="132" t="s">
        <v>77</v>
      </c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67"/>
    </row>
    <row r="246" spans="1:14" ht="15.75" customHeight="1" x14ac:dyDescent="0.25">
      <c r="A246" s="128">
        <v>329</v>
      </c>
      <c r="B246" s="129" t="s">
        <v>50</v>
      </c>
      <c r="C246" s="130">
        <v>22000</v>
      </c>
      <c r="D246" s="130">
        <v>25418</v>
      </c>
      <c r="E246" s="130">
        <v>24918</v>
      </c>
      <c r="F246" s="130">
        <f>15000+2000+700+500+1000</f>
        <v>19200</v>
      </c>
      <c r="G246" s="130"/>
      <c r="H246" s="130"/>
      <c r="I246" s="130"/>
      <c r="J246" s="130"/>
      <c r="K246" s="130"/>
      <c r="L246" s="130"/>
      <c r="M246" s="130">
        <f>SUM(M247:M251)</f>
        <v>24549.53</v>
      </c>
      <c r="N246" s="166">
        <f>+M246/E246*100</f>
        <v>98.521269764828631</v>
      </c>
    </row>
    <row r="247" spans="1:14" ht="15.75" customHeight="1" x14ac:dyDescent="0.25">
      <c r="A247" s="131">
        <v>3292</v>
      </c>
      <c r="B247" s="132" t="s">
        <v>78</v>
      </c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>
        <v>21105.77</v>
      </c>
      <c r="N247" s="167"/>
    </row>
    <row r="248" spans="1:14" ht="15.75" customHeight="1" x14ac:dyDescent="0.25">
      <c r="A248" s="131">
        <v>3293</v>
      </c>
      <c r="B248" s="132" t="s">
        <v>89</v>
      </c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>
        <v>2000</v>
      </c>
      <c r="N248" s="167"/>
    </row>
    <row r="249" spans="1:14" ht="15.75" customHeight="1" x14ac:dyDescent="0.25">
      <c r="A249" s="131">
        <v>3294</v>
      </c>
      <c r="B249" s="132" t="s">
        <v>90</v>
      </c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>
        <v>1200</v>
      </c>
      <c r="N249" s="167"/>
    </row>
    <row r="250" spans="1:14" ht="15.75" customHeight="1" x14ac:dyDescent="0.25">
      <c r="A250" s="131">
        <v>3295</v>
      </c>
      <c r="B250" s="132" t="s">
        <v>72</v>
      </c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>
        <v>0</v>
      </c>
      <c r="N250" s="167"/>
    </row>
    <row r="251" spans="1:14" ht="15.75" customHeight="1" x14ac:dyDescent="0.25">
      <c r="A251" s="131">
        <v>3299</v>
      </c>
      <c r="B251" s="132" t="s">
        <v>50</v>
      </c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>
        <v>243.76</v>
      </c>
      <c r="N251" s="167"/>
    </row>
    <row r="252" spans="1:14" ht="15.75" customHeight="1" x14ac:dyDescent="0.25">
      <c r="A252" s="128">
        <v>34</v>
      </c>
      <c r="B252" s="129" t="s">
        <v>136</v>
      </c>
      <c r="C252" s="130">
        <f>+C253</f>
        <v>6000</v>
      </c>
      <c r="D252" s="130">
        <f>+D253</f>
        <v>7500</v>
      </c>
      <c r="E252" s="130">
        <f>+E253</f>
        <v>6500</v>
      </c>
      <c r="F252" s="130">
        <f t="shared" ref="F252:M252" si="177">+F253</f>
        <v>5750</v>
      </c>
      <c r="G252" s="130">
        <f t="shared" si="177"/>
        <v>0</v>
      </c>
      <c r="H252" s="130">
        <f t="shared" si="177"/>
        <v>0</v>
      </c>
      <c r="I252" s="130">
        <f t="shared" si="177"/>
        <v>0</v>
      </c>
      <c r="J252" s="130">
        <f t="shared" si="177"/>
        <v>0</v>
      </c>
      <c r="K252" s="130">
        <f t="shared" si="177"/>
        <v>0</v>
      </c>
      <c r="L252" s="130">
        <f t="shared" si="177"/>
        <v>0</v>
      </c>
      <c r="M252" s="130">
        <f t="shared" si="177"/>
        <v>6564.51</v>
      </c>
      <c r="N252" s="166">
        <f>+M252/E252*100</f>
        <v>100.99246153846153</v>
      </c>
    </row>
    <row r="253" spans="1:14" ht="15.75" customHeight="1" x14ac:dyDescent="0.25">
      <c r="A253" s="128">
        <v>343</v>
      </c>
      <c r="B253" s="129" t="s">
        <v>52</v>
      </c>
      <c r="C253" s="130">
        <v>6000</v>
      </c>
      <c r="D253" s="130">
        <v>7500</v>
      </c>
      <c r="E253" s="130">
        <v>6500</v>
      </c>
      <c r="F253" s="130">
        <v>5750</v>
      </c>
      <c r="G253" s="130"/>
      <c r="H253" s="130"/>
      <c r="I253" s="130"/>
      <c r="J253" s="130"/>
      <c r="K253" s="130"/>
      <c r="L253" s="130"/>
      <c r="M253" s="130">
        <f>+M254</f>
        <v>6564.51</v>
      </c>
      <c r="N253" s="166">
        <f>+M253/E253*100</f>
        <v>100.99246153846153</v>
      </c>
    </row>
    <row r="254" spans="1:14" ht="15.75" customHeight="1" x14ac:dyDescent="0.25">
      <c r="A254" s="131">
        <v>3431</v>
      </c>
      <c r="B254" s="132" t="s">
        <v>91</v>
      </c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>
        <v>6564.51</v>
      </c>
      <c r="N254" s="166"/>
    </row>
    <row r="255" spans="1:14" ht="15.75" customHeight="1" x14ac:dyDescent="0.25">
      <c r="A255" s="128">
        <v>4</v>
      </c>
      <c r="B255" s="129" t="s">
        <v>138</v>
      </c>
      <c r="C255" s="130"/>
      <c r="D255" s="130"/>
      <c r="E255" s="130">
        <f>+E256</f>
        <v>1900000</v>
      </c>
      <c r="F255" s="130">
        <f t="shared" ref="F255:M256" si="178">+F256</f>
        <v>0</v>
      </c>
      <c r="G255" s="130">
        <f t="shared" si="178"/>
        <v>0</v>
      </c>
      <c r="H255" s="130">
        <f t="shared" si="178"/>
        <v>0</v>
      </c>
      <c r="I255" s="130">
        <f t="shared" si="178"/>
        <v>0</v>
      </c>
      <c r="J255" s="130">
        <f t="shared" si="178"/>
        <v>0</v>
      </c>
      <c r="K255" s="130">
        <f t="shared" si="178"/>
        <v>0</v>
      </c>
      <c r="L255" s="130">
        <f t="shared" si="178"/>
        <v>0</v>
      </c>
      <c r="M255" s="130">
        <f t="shared" si="178"/>
        <v>1816164.89</v>
      </c>
      <c r="N255" s="166">
        <f t="shared" ref="N255" si="179">+M255/E255*100</f>
        <v>95.587625789473677</v>
      </c>
    </row>
    <row r="256" spans="1:14" ht="15.75" customHeight="1" x14ac:dyDescent="0.25">
      <c r="A256" s="128">
        <v>41</v>
      </c>
      <c r="B256" s="129" t="s">
        <v>211</v>
      </c>
      <c r="C256" s="130"/>
      <c r="D256" s="130"/>
      <c r="E256" s="130">
        <f>+E257</f>
        <v>1900000</v>
      </c>
      <c r="F256" s="130">
        <f t="shared" si="178"/>
        <v>0</v>
      </c>
      <c r="G256" s="130">
        <f t="shared" si="178"/>
        <v>0</v>
      </c>
      <c r="H256" s="130">
        <f t="shared" si="178"/>
        <v>0</v>
      </c>
      <c r="I256" s="130">
        <f t="shared" si="178"/>
        <v>0</v>
      </c>
      <c r="J256" s="130">
        <f t="shared" si="178"/>
        <v>0</v>
      </c>
      <c r="K256" s="130">
        <f t="shared" si="178"/>
        <v>0</v>
      </c>
      <c r="L256" s="130">
        <f t="shared" si="178"/>
        <v>0</v>
      </c>
      <c r="M256" s="130">
        <f t="shared" si="178"/>
        <v>1816164.89</v>
      </c>
      <c r="N256" s="166"/>
    </row>
    <row r="257" spans="1:19" ht="15.75" customHeight="1" x14ac:dyDescent="0.25">
      <c r="A257" s="128">
        <v>411</v>
      </c>
      <c r="B257" s="129" t="s">
        <v>212</v>
      </c>
      <c r="C257" s="130"/>
      <c r="D257" s="130"/>
      <c r="E257" s="130">
        <v>1900000</v>
      </c>
      <c r="F257" s="130"/>
      <c r="G257" s="130"/>
      <c r="H257" s="130"/>
      <c r="I257" s="130"/>
      <c r="J257" s="130"/>
      <c r="K257" s="130"/>
      <c r="L257" s="130"/>
      <c r="M257" s="130">
        <f>+M258</f>
        <v>1816164.89</v>
      </c>
      <c r="N257" s="166"/>
    </row>
    <row r="258" spans="1:19" s="39" customFormat="1" ht="15.75" customHeight="1" x14ac:dyDescent="0.25">
      <c r="A258" s="131">
        <v>4111</v>
      </c>
      <c r="B258" s="132" t="s">
        <v>206</v>
      </c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>
        <v>1816164.89</v>
      </c>
      <c r="N258" s="167"/>
      <c r="P258"/>
      <c r="Q258"/>
      <c r="R258"/>
      <c r="S258"/>
    </row>
    <row r="259" spans="1:19" ht="15.75" customHeight="1" x14ac:dyDescent="0.25">
      <c r="A259" s="145" t="s">
        <v>142</v>
      </c>
      <c r="B259" s="145" t="s">
        <v>143</v>
      </c>
      <c r="C259" s="145">
        <f t="shared" ref="C259:M259" si="180">+C260+C360+C373+C368</f>
        <v>704800</v>
      </c>
      <c r="D259" s="145">
        <f t="shared" si="180"/>
        <v>761500</v>
      </c>
      <c r="E259" s="145">
        <f t="shared" si="180"/>
        <v>775260</v>
      </c>
      <c r="F259" s="145">
        <f t="shared" si="180"/>
        <v>752560</v>
      </c>
      <c r="G259" s="145">
        <f t="shared" si="180"/>
        <v>24800</v>
      </c>
      <c r="H259" s="145">
        <f t="shared" si="180"/>
        <v>6000</v>
      </c>
      <c r="I259" s="145">
        <f t="shared" si="180"/>
        <v>60000</v>
      </c>
      <c r="J259" s="145">
        <f t="shared" si="180"/>
        <v>20000</v>
      </c>
      <c r="K259" s="145">
        <f t="shared" si="180"/>
        <v>0</v>
      </c>
      <c r="L259" s="145">
        <f t="shared" si="180"/>
        <v>0</v>
      </c>
      <c r="M259" s="145">
        <f t="shared" si="180"/>
        <v>748379.1100000001</v>
      </c>
      <c r="N259" s="169">
        <f t="shared" ref="N259:N264" si="181">+M259/E259*100</f>
        <v>96.532661300724925</v>
      </c>
    </row>
    <row r="260" spans="1:19" ht="15.75" customHeight="1" x14ac:dyDescent="0.25">
      <c r="A260" s="147" t="s">
        <v>144</v>
      </c>
      <c r="B260" s="148" t="s">
        <v>145</v>
      </c>
      <c r="C260" s="148">
        <f>+C262+C296</f>
        <v>520800</v>
      </c>
      <c r="D260" s="148">
        <f t="shared" ref="D260" si="182">+D262+D296</f>
        <v>511500</v>
      </c>
      <c r="E260" s="148">
        <f t="shared" ref="E260:L260" si="183">+E262+E296</f>
        <v>523260</v>
      </c>
      <c r="F260" s="148">
        <f t="shared" si="183"/>
        <v>613560</v>
      </c>
      <c r="G260" s="148">
        <f t="shared" si="183"/>
        <v>24800</v>
      </c>
      <c r="H260" s="148">
        <f t="shared" si="183"/>
        <v>6000</v>
      </c>
      <c r="I260" s="148">
        <f t="shared" si="183"/>
        <v>60000</v>
      </c>
      <c r="J260" s="148">
        <f t="shared" si="183"/>
        <v>20000</v>
      </c>
      <c r="K260" s="148">
        <f t="shared" si="183"/>
        <v>0</v>
      </c>
      <c r="L260" s="148">
        <f t="shared" si="183"/>
        <v>0</v>
      </c>
      <c r="M260" s="148">
        <f>+M262+M296</f>
        <v>504931.74000000005</v>
      </c>
      <c r="N260" s="170">
        <f t="shared" si="181"/>
        <v>96.497293888315568</v>
      </c>
    </row>
    <row r="261" spans="1:19" x14ac:dyDescent="0.25">
      <c r="A261" s="160" t="s">
        <v>170</v>
      </c>
      <c r="B261" s="158"/>
      <c r="C261" s="159">
        <f>+C262+C296</f>
        <v>520800</v>
      </c>
      <c r="D261" s="159">
        <f t="shared" ref="D261" si="184">+D262+D296</f>
        <v>511500</v>
      </c>
      <c r="E261" s="159">
        <f t="shared" ref="E261:L261" si="185">+E262+E296</f>
        <v>523260</v>
      </c>
      <c r="F261" s="159">
        <f t="shared" si="185"/>
        <v>613560</v>
      </c>
      <c r="G261" s="159">
        <f t="shared" si="185"/>
        <v>24800</v>
      </c>
      <c r="H261" s="159">
        <f t="shared" si="185"/>
        <v>6000</v>
      </c>
      <c r="I261" s="159">
        <f t="shared" si="185"/>
        <v>60000</v>
      </c>
      <c r="J261" s="159">
        <f t="shared" si="185"/>
        <v>20000</v>
      </c>
      <c r="K261" s="159">
        <f t="shared" si="185"/>
        <v>0</v>
      </c>
      <c r="L261" s="159">
        <f t="shared" si="185"/>
        <v>0</v>
      </c>
      <c r="M261" s="159">
        <f>+M262+M296</f>
        <v>504931.74000000005</v>
      </c>
      <c r="N261" s="165">
        <f t="shared" si="181"/>
        <v>96.497293888315568</v>
      </c>
    </row>
    <row r="262" spans="1:19" ht="15.75" customHeight="1" x14ac:dyDescent="0.25">
      <c r="A262" s="128">
        <v>3</v>
      </c>
      <c r="B262" s="129" t="s">
        <v>41</v>
      </c>
      <c r="C262" s="130">
        <f>+C263+C271+C293</f>
        <v>520800</v>
      </c>
      <c r="D262" s="130">
        <f>+D263+D271+D293</f>
        <v>511500</v>
      </c>
      <c r="E262" s="130">
        <f>+E263+E271+E293</f>
        <v>512260</v>
      </c>
      <c r="F262" s="130">
        <f t="shared" ref="F262:L262" si="186">+F263+F271+F293</f>
        <v>568560</v>
      </c>
      <c r="G262" s="130">
        <f t="shared" si="186"/>
        <v>17700</v>
      </c>
      <c r="H262" s="130">
        <f t="shared" si="186"/>
        <v>6000</v>
      </c>
      <c r="I262" s="130">
        <f t="shared" si="186"/>
        <v>60000</v>
      </c>
      <c r="J262" s="130">
        <f t="shared" si="186"/>
        <v>14000</v>
      </c>
      <c r="K262" s="130">
        <f t="shared" si="186"/>
        <v>0</v>
      </c>
      <c r="L262" s="130">
        <f t="shared" si="186"/>
        <v>0</v>
      </c>
      <c r="M262" s="130">
        <f>+M263+M271+M293+M290</f>
        <v>494581.74000000005</v>
      </c>
      <c r="N262" s="166">
        <f t="shared" si="181"/>
        <v>96.548967321282177</v>
      </c>
    </row>
    <row r="263" spans="1:19" ht="15.75" customHeight="1" x14ac:dyDescent="0.25">
      <c r="A263" s="128">
        <v>31</v>
      </c>
      <c r="B263" s="129" t="s">
        <v>42</v>
      </c>
      <c r="C263" s="130">
        <f t="shared" ref="C263:L263" si="187">+C264+C267+C269</f>
        <v>434000</v>
      </c>
      <c r="D263" s="130">
        <f t="shared" ref="D263" si="188">+D264+D267+D269</f>
        <v>368000</v>
      </c>
      <c r="E263" s="130">
        <f t="shared" si="187"/>
        <v>356760</v>
      </c>
      <c r="F263" s="130">
        <f t="shared" si="187"/>
        <v>280000</v>
      </c>
      <c r="G263" s="130">
        <f t="shared" si="187"/>
        <v>0</v>
      </c>
      <c r="H263" s="130">
        <f t="shared" si="187"/>
        <v>0</v>
      </c>
      <c r="I263" s="130">
        <f t="shared" si="187"/>
        <v>0</v>
      </c>
      <c r="J263" s="130">
        <f t="shared" si="187"/>
        <v>0</v>
      </c>
      <c r="K263" s="130">
        <f t="shared" si="187"/>
        <v>0</v>
      </c>
      <c r="L263" s="130">
        <f t="shared" si="187"/>
        <v>0</v>
      </c>
      <c r="M263" s="130">
        <f>+M264+M267+M269</f>
        <v>356870.91000000003</v>
      </c>
      <c r="N263" s="166">
        <f t="shared" si="181"/>
        <v>100.03108812647159</v>
      </c>
    </row>
    <row r="264" spans="1:19" ht="15.75" customHeight="1" x14ac:dyDescent="0.25">
      <c r="A264" s="128">
        <v>311</v>
      </c>
      <c r="B264" s="129" t="s">
        <v>135</v>
      </c>
      <c r="C264" s="130">
        <v>150000</v>
      </c>
      <c r="D264" s="130">
        <v>150000</v>
      </c>
      <c r="E264" s="130">
        <v>215000</v>
      </c>
      <c r="F264" s="130">
        <v>145000</v>
      </c>
      <c r="G264" s="130"/>
      <c r="H264" s="130"/>
      <c r="I264" s="130"/>
      <c r="J264" s="130"/>
      <c r="K264" s="130"/>
      <c r="L264" s="134"/>
      <c r="M264" s="130">
        <f>+M265+M266</f>
        <v>210466.68</v>
      </c>
      <c r="N264" s="166">
        <f t="shared" si="181"/>
        <v>97.891479069767442</v>
      </c>
    </row>
    <row r="265" spans="1:19" ht="15.75" customHeight="1" x14ac:dyDescent="0.25">
      <c r="A265" s="131">
        <v>3111</v>
      </c>
      <c r="B265" s="132" t="s">
        <v>66</v>
      </c>
      <c r="C265" s="130"/>
      <c r="D265" s="130"/>
      <c r="E265" s="130"/>
      <c r="F265" s="130"/>
      <c r="G265" s="130"/>
      <c r="H265" s="130"/>
      <c r="I265" s="130"/>
      <c r="J265" s="130"/>
      <c r="K265" s="130"/>
      <c r="L265" s="134"/>
      <c r="M265" s="130">
        <f>54029.98+138371.58</f>
        <v>192401.56</v>
      </c>
      <c r="N265" s="167"/>
    </row>
    <row r="266" spans="1:19" ht="15.75" customHeight="1" x14ac:dyDescent="0.25">
      <c r="A266" s="131">
        <v>3114</v>
      </c>
      <c r="B266" s="132" t="s">
        <v>68</v>
      </c>
      <c r="C266" s="130"/>
      <c r="D266" s="130"/>
      <c r="E266" s="130"/>
      <c r="F266" s="130"/>
      <c r="G266" s="130"/>
      <c r="H266" s="130"/>
      <c r="I266" s="130"/>
      <c r="J266" s="130"/>
      <c r="K266" s="130"/>
      <c r="L266" s="134"/>
      <c r="M266" s="130">
        <f>9713.26+8351.86</f>
        <v>18065.120000000003</v>
      </c>
      <c r="N266" s="167"/>
    </row>
    <row r="267" spans="1:19" ht="15.75" customHeight="1" x14ac:dyDescent="0.25">
      <c r="A267" s="128">
        <v>312</v>
      </c>
      <c r="B267" s="129" t="s">
        <v>44</v>
      </c>
      <c r="C267" s="130">
        <v>259000</v>
      </c>
      <c r="D267" s="130">
        <v>193000</v>
      </c>
      <c r="E267" s="130">
        <v>105760</v>
      </c>
      <c r="F267" s="130">
        <f>6000+105000</f>
        <v>111000</v>
      </c>
      <c r="G267" s="130"/>
      <c r="H267" s="130"/>
      <c r="I267" s="130"/>
      <c r="J267" s="130"/>
      <c r="K267" s="130"/>
      <c r="L267" s="134"/>
      <c r="M267" s="130">
        <f>+M268</f>
        <v>111677.23000000001</v>
      </c>
      <c r="N267" s="166">
        <f>+M267/E267*100</f>
        <v>105.59496028744329</v>
      </c>
    </row>
    <row r="268" spans="1:19" ht="15.75" customHeight="1" x14ac:dyDescent="0.25">
      <c r="A268" s="131">
        <v>3121</v>
      </c>
      <c r="B268" s="132" t="s">
        <v>44</v>
      </c>
      <c r="C268" s="130"/>
      <c r="D268" s="130"/>
      <c r="E268" s="130"/>
      <c r="F268" s="130"/>
      <c r="G268" s="130"/>
      <c r="H268" s="130"/>
      <c r="I268" s="130"/>
      <c r="J268" s="130"/>
      <c r="K268" s="130"/>
      <c r="L268" s="134"/>
      <c r="M268" s="130">
        <f>103925.83+211242.37-203490.97</f>
        <v>111677.23000000001</v>
      </c>
      <c r="N268" s="167"/>
    </row>
    <row r="269" spans="1:19" ht="15.75" customHeight="1" x14ac:dyDescent="0.25">
      <c r="A269" s="128">
        <v>313</v>
      </c>
      <c r="B269" s="129" t="s">
        <v>45</v>
      </c>
      <c r="C269" s="130">
        <v>25000</v>
      </c>
      <c r="D269" s="130">
        <v>25000</v>
      </c>
      <c r="E269" s="130">
        <v>36000</v>
      </c>
      <c r="F269" s="130">
        <v>24000</v>
      </c>
      <c r="G269" s="130"/>
      <c r="H269" s="130"/>
      <c r="I269" s="130"/>
      <c r="J269" s="130"/>
      <c r="K269" s="130"/>
      <c r="L269" s="134"/>
      <c r="M269" s="130">
        <f>+M270</f>
        <v>34727</v>
      </c>
      <c r="N269" s="166">
        <f>+M269/E269*100</f>
        <v>96.463888888888889</v>
      </c>
    </row>
    <row r="270" spans="1:19" ht="15.75" customHeight="1" x14ac:dyDescent="0.25">
      <c r="A270" s="131">
        <v>3132</v>
      </c>
      <c r="B270" s="132" t="s">
        <v>69</v>
      </c>
      <c r="C270" s="130"/>
      <c r="D270" s="130"/>
      <c r="E270" s="130"/>
      <c r="F270" s="130"/>
      <c r="G270" s="130"/>
      <c r="H270" s="130"/>
      <c r="I270" s="130"/>
      <c r="J270" s="130"/>
      <c r="K270" s="130"/>
      <c r="L270" s="134"/>
      <c r="M270" s="130">
        <f>10517.63+24209.37</f>
        <v>34727</v>
      </c>
      <c r="N270" s="167"/>
    </row>
    <row r="271" spans="1:19" ht="15.75" customHeight="1" x14ac:dyDescent="0.25">
      <c r="A271" s="128">
        <v>32</v>
      </c>
      <c r="B271" s="129" t="s">
        <v>46</v>
      </c>
      <c r="C271" s="130">
        <f>+C272+C276+C281+C288</f>
        <v>56800</v>
      </c>
      <c r="D271" s="130">
        <f>+D272+D276+D281+D288</f>
        <v>106500</v>
      </c>
      <c r="E271" s="130">
        <f>+E272+E276+E281+E288</f>
        <v>122500</v>
      </c>
      <c r="F271" s="130">
        <f t="shared" ref="F271:L271" si="189">+F272+F276+F281+F288</f>
        <v>231560</v>
      </c>
      <c r="G271" s="130">
        <f t="shared" si="189"/>
        <v>17700</v>
      </c>
      <c r="H271" s="130">
        <f t="shared" si="189"/>
        <v>6000</v>
      </c>
      <c r="I271" s="130">
        <f t="shared" si="189"/>
        <v>0</v>
      </c>
      <c r="J271" s="130">
        <f t="shared" si="189"/>
        <v>14000</v>
      </c>
      <c r="K271" s="130">
        <f t="shared" si="189"/>
        <v>0</v>
      </c>
      <c r="L271" s="130">
        <f t="shared" si="189"/>
        <v>0</v>
      </c>
      <c r="M271" s="130">
        <f>+M272+M276+M281+M288</f>
        <v>108867.65000000001</v>
      </c>
      <c r="N271" s="166">
        <f>+M271/E271*100</f>
        <v>88.871551020408162</v>
      </c>
    </row>
    <row r="272" spans="1:19" ht="15.75" customHeight="1" x14ac:dyDescent="0.25">
      <c r="A272" s="128">
        <v>321</v>
      </c>
      <c r="B272" s="129" t="s">
        <v>47</v>
      </c>
      <c r="C272" s="130">
        <v>11000</v>
      </c>
      <c r="D272" s="130">
        <v>27700</v>
      </c>
      <c r="E272" s="130">
        <v>23700</v>
      </c>
      <c r="F272" s="130">
        <f>3000+6000+22800</f>
        <v>31800</v>
      </c>
      <c r="G272" s="130">
        <v>1000</v>
      </c>
      <c r="H272" s="130"/>
      <c r="I272" s="130"/>
      <c r="J272" s="130"/>
      <c r="K272" s="130"/>
      <c r="L272" s="134"/>
      <c r="M272" s="130">
        <f>SUM(M273:M275)</f>
        <v>10195.630000000001</v>
      </c>
      <c r="N272" s="166">
        <f>+M272/E272*100</f>
        <v>43.019535864978906</v>
      </c>
    </row>
    <row r="273" spans="1:17" ht="15.75" customHeight="1" x14ac:dyDescent="0.25">
      <c r="A273" s="131">
        <v>3211</v>
      </c>
      <c r="B273" s="132" t="s">
        <v>80</v>
      </c>
      <c r="C273" s="130"/>
      <c r="D273" s="130"/>
      <c r="E273" s="130"/>
      <c r="F273" s="130"/>
      <c r="G273" s="130"/>
      <c r="H273" s="130"/>
      <c r="I273" s="130"/>
      <c r="J273" s="130"/>
      <c r="K273" s="130"/>
      <c r="L273" s="134"/>
      <c r="M273" s="130">
        <v>3500</v>
      </c>
      <c r="N273" s="167"/>
    </row>
    <row r="274" spans="1:17" ht="15.75" customHeight="1" x14ac:dyDescent="0.25">
      <c r="A274" s="131">
        <v>3212</v>
      </c>
      <c r="B274" s="132" t="s">
        <v>71</v>
      </c>
      <c r="C274" s="130"/>
      <c r="D274" s="130"/>
      <c r="E274" s="130"/>
      <c r="F274" s="130"/>
      <c r="G274" s="130"/>
      <c r="H274" s="130"/>
      <c r="I274" s="130"/>
      <c r="J274" s="130"/>
      <c r="K274" s="130"/>
      <c r="L274" s="134"/>
      <c r="M274" s="130">
        <v>6695.63</v>
      </c>
      <c r="N274" s="167"/>
    </row>
    <row r="275" spans="1:17" ht="15.75" customHeight="1" x14ac:dyDescent="0.25">
      <c r="A275" s="131">
        <v>3213</v>
      </c>
      <c r="B275" s="132" t="s">
        <v>81</v>
      </c>
      <c r="C275" s="130"/>
      <c r="D275" s="130"/>
      <c r="E275" s="130"/>
      <c r="F275" s="130"/>
      <c r="G275" s="130"/>
      <c r="H275" s="130"/>
      <c r="I275" s="130"/>
      <c r="J275" s="130"/>
      <c r="K275" s="130"/>
      <c r="L275" s="134"/>
      <c r="M275" s="130"/>
      <c r="N275" s="167"/>
    </row>
    <row r="276" spans="1:17" ht="15.75" customHeight="1" x14ac:dyDescent="0.25">
      <c r="A276" s="128">
        <v>322</v>
      </c>
      <c r="B276" s="129" t="s">
        <v>48</v>
      </c>
      <c r="C276" s="130">
        <v>0</v>
      </c>
      <c r="D276" s="130">
        <v>0</v>
      </c>
      <c r="E276" s="130">
        <v>3000</v>
      </c>
      <c r="F276" s="130">
        <v>16000</v>
      </c>
      <c r="G276" s="130">
        <f>1500+10000</f>
        <v>11500</v>
      </c>
      <c r="H276" s="130"/>
      <c r="I276" s="130"/>
      <c r="J276" s="130">
        <v>10000</v>
      </c>
      <c r="K276" s="130"/>
      <c r="L276" s="134"/>
      <c r="M276" s="130">
        <f>SUM(M277:M280)</f>
        <v>7215.9500000000007</v>
      </c>
      <c r="N276" s="166">
        <f>+M276/E276*100</f>
        <v>240.53166666666667</v>
      </c>
    </row>
    <row r="277" spans="1:17" ht="15.75" customHeight="1" x14ac:dyDescent="0.25">
      <c r="A277" s="131">
        <v>3221</v>
      </c>
      <c r="B277" s="132" t="s">
        <v>73</v>
      </c>
      <c r="C277" s="130"/>
      <c r="D277" s="130"/>
      <c r="E277" s="130"/>
      <c r="F277" s="130"/>
      <c r="G277" s="130"/>
      <c r="H277" s="130"/>
      <c r="I277" s="130"/>
      <c r="J277" s="130"/>
      <c r="K277" s="130"/>
      <c r="L277" s="134"/>
      <c r="M277" s="130">
        <v>2732.4</v>
      </c>
      <c r="N277" s="167"/>
    </row>
    <row r="278" spans="1:17" ht="15.75" customHeight="1" x14ac:dyDescent="0.25">
      <c r="A278" s="131">
        <v>3223</v>
      </c>
      <c r="B278" s="132" t="s">
        <v>74</v>
      </c>
      <c r="C278" s="130"/>
      <c r="D278" s="130"/>
      <c r="E278" s="130"/>
      <c r="F278" s="130"/>
      <c r="G278" s="130"/>
      <c r="H278" s="130"/>
      <c r="I278" s="130"/>
      <c r="J278" s="130"/>
      <c r="K278" s="130"/>
      <c r="L278" s="134"/>
      <c r="M278" s="130">
        <v>612.07000000000005</v>
      </c>
      <c r="N278" s="167"/>
    </row>
    <row r="279" spans="1:17" ht="15.75" customHeight="1" x14ac:dyDescent="0.25">
      <c r="A279" s="131">
        <v>3224</v>
      </c>
      <c r="B279" s="132" t="s">
        <v>83</v>
      </c>
      <c r="C279" s="130"/>
      <c r="D279" s="130"/>
      <c r="E279" s="130"/>
      <c r="F279" s="130"/>
      <c r="G279" s="130"/>
      <c r="H279" s="130"/>
      <c r="I279" s="130"/>
      <c r="J279" s="130"/>
      <c r="K279" s="130"/>
      <c r="L279" s="134"/>
      <c r="M279" s="130">
        <v>3871.48</v>
      </c>
      <c r="N279" s="167"/>
    </row>
    <row r="280" spans="1:17" ht="15.75" customHeight="1" x14ac:dyDescent="0.25">
      <c r="A280" s="131">
        <v>3225</v>
      </c>
      <c r="B280" s="132" t="s">
        <v>84</v>
      </c>
      <c r="C280" s="130"/>
      <c r="D280" s="130"/>
      <c r="E280" s="130"/>
      <c r="F280" s="130"/>
      <c r="G280" s="130"/>
      <c r="H280" s="130"/>
      <c r="I280" s="130"/>
      <c r="J280" s="130"/>
      <c r="K280" s="130"/>
      <c r="L280" s="134"/>
      <c r="M280" s="130">
        <v>0</v>
      </c>
      <c r="N280" s="167"/>
    </row>
    <row r="281" spans="1:17" ht="15.75" customHeight="1" x14ac:dyDescent="0.25">
      <c r="A281" s="128">
        <v>323</v>
      </c>
      <c r="B281" s="129" t="s">
        <v>49</v>
      </c>
      <c r="C281" s="130">
        <v>45800</v>
      </c>
      <c r="D281" s="130">
        <v>72800</v>
      </c>
      <c r="E281" s="130">
        <v>85800</v>
      </c>
      <c r="F281" s="130">
        <f>90000+38000+5760</f>
        <v>133760</v>
      </c>
      <c r="G281" s="130">
        <v>2000</v>
      </c>
      <c r="H281" s="130"/>
      <c r="I281" s="130"/>
      <c r="J281" s="130">
        <v>4000</v>
      </c>
      <c r="K281" s="130"/>
      <c r="L281" s="134"/>
      <c r="M281" s="130">
        <f>SUM(M282:M287)</f>
        <v>82331.070000000007</v>
      </c>
      <c r="N281" s="166">
        <f>+M281/E281*100</f>
        <v>95.956958041958046</v>
      </c>
    </row>
    <row r="282" spans="1:17" s="39" customFormat="1" ht="15.75" customHeight="1" x14ac:dyDescent="0.25">
      <c r="A282" s="131">
        <v>3231</v>
      </c>
      <c r="B282" s="132" t="s">
        <v>75</v>
      </c>
      <c r="C282" s="133"/>
      <c r="D282" s="133"/>
      <c r="E282" s="133"/>
      <c r="F282" s="133"/>
      <c r="G282" s="133"/>
      <c r="H282" s="133"/>
      <c r="I282" s="133"/>
      <c r="J282" s="133"/>
      <c r="K282" s="133"/>
      <c r="L282" s="135"/>
      <c r="M282" s="133">
        <v>24918.400000000001</v>
      </c>
      <c r="N282" s="167"/>
    </row>
    <row r="283" spans="1:17" ht="15.75" customHeight="1" x14ac:dyDescent="0.25">
      <c r="A283" s="131">
        <v>3232</v>
      </c>
      <c r="B283" s="132" t="s">
        <v>76</v>
      </c>
      <c r="C283" s="130"/>
      <c r="D283" s="130"/>
      <c r="E283" s="130"/>
      <c r="F283" s="130"/>
      <c r="G283" s="130"/>
      <c r="H283" s="130"/>
      <c r="I283" s="130"/>
      <c r="J283" s="130"/>
      <c r="K283" s="130"/>
      <c r="L283" s="134"/>
      <c r="M283" s="130">
        <v>13500</v>
      </c>
      <c r="N283" s="167"/>
      <c r="Q283" s="39"/>
    </row>
    <row r="284" spans="1:17" ht="15.75" customHeight="1" x14ac:dyDescent="0.25">
      <c r="A284" s="131">
        <v>3234</v>
      </c>
      <c r="B284" s="132" t="s">
        <v>86</v>
      </c>
      <c r="C284" s="130"/>
      <c r="D284" s="130"/>
      <c r="E284" s="130"/>
      <c r="F284" s="130"/>
      <c r="G284" s="130"/>
      <c r="H284" s="130"/>
      <c r="I284" s="130"/>
      <c r="J284" s="130"/>
      <c r="K284" s="130"/>
      <c r="L284" s="134"/>
      <c r="M284" s="130"/>
      <c r="N284" s="167"/>
    </row>
    <row r="285" spans="1:17" ht="15.75" customHeight="1" x14ac:dyDescent="0.25">
      <c r="A285" s="131">
        <v>3235</v>
      </c>
      <c r="B285" s="132" t="s">
        <v>87</v>
      </c>
      <c r="C285" s="130"/>
      <c r="D285" s="130"/>
      <c r="E285" s="130"/>
      <c r="F285" s="130"/>
      <c r="G285" s="130"/>
      <c r="H285" s="130"/>
      <c r="I285" s="130"/>
      <c r="J285" s="130"/>
      <c r="K285" s="130"/>
      <c r="L285" s="134"/>
      <c r="M285" s="130">
        <v>38237.67</v>
      </c>
      <c r="N285" s="167"/>
    </row>
    <row r="286" spans="1:17" ht="15.75" customHeight="1" x14ac:dyDescent="0.25">
      <c r="A286" s="131">
        <v>3238</v>
      </c>
      <c r="B286" s="132" t="s">
        <v>88</v>
      </c>
      <c r="C286" s="130"/>
      <c r="D286" s="130"/>
      <c r="E286" s="130"/>
      <c r="F286" s="130"/>
      <c r="G286" s="130"/>
      <c r="H286" s="130"/>
      <c r="I286" s="130"/>
      <c r="J286" s="130"/>
      <c r="K286" s="130"/>
      <c r="L286" s="134"/>
      <c r="M286" s="130">
        <v>4800</v>
      </c>
      <c r="N286" s="167"/>
    </row>
    <row r="287" spans="1:17" ht="15.75" customHeight="1" x14ac:dyDescent="0.25">
      <c r="A287" s="131">
        <v>3239</v>
      </c>
      <c r="B287" s="132" t="s">
        <v>77</v>
      </c>
      <c r="C287" s="130"/>
      <c r="D287" s="130"/>
      <c r="E287" s="130"/>
      <c r="F287" s="130"/>
      <c r="G287" s="130"/>
      <c r="H287" s="130"/>
      <c r="I287" s="130"/>
      <c r="J287" s="130"/>
      <c r="K287" s="130"/>
      <c r="L287" s="134"/>
      <c r="M287" s="130">
        <v>875</v>
      </c>
      <c r="N287" s="167"/>
    </row>
    <row r="288" spans="1:17" ht="15.75" customHeight="1" x14ac:dyDescent="0.25">
      <c r="A288" s="128">
        <v>329</v>
      </c>
      <c r="B288" s="129" t="s">
        <v>50</v>
      </c>
      <c r="C288" s="130"/>
      <c r="D288" s="130">
        <v>6000</v>
      </c>
      <c r="E288" s="130">
        <v>10000</v>
      </c>
      <c r="F288" s="130">
        <v>50000</v>
      </c>
      <c r="G288" s="130">
        <f>1000+100+2100</f>
        <v>3200</v>
      </c>
      <c r="H288" s="130">
        <v>6000</v>
      </c>
      <c r="I288" s="130"/>
      <c r="J288" s="130"/>
      <c r="K288" s="130"/>
      <c r="L288" s="134"/>
      <c r="M288" s="130">
        <f>+M289</f>
        <v>9125</v>
      </c>
      <c r="N288" s="166">
        <f>+M288/E288*100</f>
        <v>91.25</v>
      </c>
    </row>
    <row r="289" spans="1:14" ht="15.75" customHeight="1" x14ac:dyDescent="0.25">
      <c r="A289" s="131">
        <v>3299</v>
      </c>
      <c r="B289" s="132" t="s">
        <v>50</v>
      </c>
      <c r="C289" s="130"/>
      <c r="D289" s="130"/>
      <c r="E289" s="130"/>
      <c r="F289" s="130"/>
      <c r="G289" s="130"/>
      <c r="H289" s="130"/>
      <c r="I289" s="130"/>
      <c r="J289" s="130"/>
      <c r="K289" s="130"/>
      <c r="L289" s="134"/>
      <c r="M289" s="130">
        <v>9125</v>
      </c>
      <c r="N289" s="166"/>
    </row>
    <row r="290" spans="1:14" s="38" customFormat="1" ht="15.75" customHeight="1" x14ac:dyDescent="0.25">
      <c r="A290" s="128">
        <v>34</v>
      </c>
      <c r="B290" s="129" t="s">
        <v>136</v>
      </c>
      <c r="C290" s="130"/>
      <c r="D290" s="130"/>
      <c r="E290" s="130"/>
      <c r="F290" s="130"/>
      <c r="G290" s="130"/>
      <c r="H290" s="130"/>
      <c r="I290" s="130"/>
      <c r="J290" s="130"/>
      <c r="K290" s="130"/>
      <c r="L290" s="134"/>
      <c r="M290" s="130">
        <f>+M291</f>
        <v>1.39</v>
      </c>
      <c r="N290" s="166"/>
    </row>
    <row r="291" spans="1:14" s="38" customFormat="1" ht="15.75" customHeight="1" x14ac:dyDescent="0.25">
      <c r="A291" s="128">
        <v>343</v>
      </c>
      <c r="B291" s="129" t="s">
        <v>208</v>
      </c>
      <c r="C291" s="130"/>
      <c r="D291" s="130"/>
      <c r="E291" s="130"/>
      <c r="F291" s="130"/>
      <c r="G291" s="130"/>
      <c r="H291" s="130"/>
      <c r="I291" s="130"/>
      <c r="J291" s="130"/>
      <c r="K291" s="130"/>
      <c r="L291" s="134"/>
      <c r="M291" s="130">
        <f>+M292</f>
        <v>1.39</v>
      </c>
      <c r="N291" s="166"/>
    </row>
    <row r="292" spans="1:14" ht="15.75" customHeight="1" x14ac:dyDescent="0.25">
      <c r="A292" s="131">
        <v>3433</v>
      </c>
      <c r="B292" s="132" t="s">
        <v>208</v>
      </c>
      <c r="C292" s="130"/>
      <c r="D292" s="130"/>
      <c r="E292" s="130"/>
      <c r="F292" s="130"/>
      <c r="G292" s="130"/>
      <c r="H292" s="130"/>
      <c r="I292" s="130"/>
      <c r="J292" s="130"/>
      <c r="K292" s="130"/>
      <c r="L292" s="134"/>
      <c r="M292" s="130">
        <v>1.39</v>
      </c>
      <c r="N292" s="166"/>
    </row>
    <row r="293" spans="1:14" ht="31.5" customHeight="1" x14ac:dyDescent="0.25">
      <c r="A293" s="128">
        <v>37</v>
      </c>
      <c r="B293" s="129" t="s">
        <v>137</v>
      </c>
      <c r="C293" s="130">
        <f>+C294</f>
        <v>30000</v>
      </c>
      <c r="D293" s="130">
        <f>+D294</f>
        <v>37000</v>
      </c>
      <c r="E293" s="130">
        <f>+E294</f>
        <v>33000</v>
      </c>
      <c r="F293" s="130">
        <f t="shared" ref="F293:M293" si="190">+F294</f>
        <v>57000</v>
      </c>
      <c r="G293" s="130">
        <f t="shared" si="190"/>
        <v>0</v>
      </c>
      <c r="H293" s="130">
        <f t="shared" si="190"/>
        <v>0</v>
      </c>
      <c r="I293" s="130">
        <f t="shared" si="190"/>
        <v>60000</v>
      </c>
      <c r="J293" s="130">
        <f t="shared" si="190"/>
        <v>0</v>
      </c>
      <c r="K293" s="130">
        <f t="shared" si="190"/>
        <v>0</v>
      </c>
      <c r="L293" s="134">
        <f t="shared" si="190"/>
        <v>0</v>
      </c>
      <c r="M293" s="130">
        <f t="shared" si="190"/>
        <v>28841.79</v>
      </c>
      <c r="N293" s="166">
        <f>+M293/E293*100</f>
        <v>87.399363636363631</v>
      </c>
    </row>
    <row r="294" spans="1:14" ht="15.75" customHeight="1" x14ac:dyDescent="0.25">
      <c r="A294" s="128">
        <v>372</v>
      </c>
      <c r="B294" s="129" t="s">
        <v>54</v>
      </c>
      <c r="C294" s="130">
        <v>30000</v>
      </c>
      <c r="D294" s="130">
        <v>37000</v>
      </c>
      <c r="E294" s="130">
        <v>33000</v>
      </c>
      <c r="F294" s="130">
        <f>30000+27000</f>
        <v>57000</v>
      </c>
      <c r="G294" s="130"/>
      <c r="H294" s="130"/>
      <c r="I294" s="130">
        <v>60000</v>
      </c>
      <c r="J294" s="130"/>
      <c r="K294" s="130"/>
      <c r="L294" s="134"/>
      <c r="M294" s="130">
        <f>+M295</f>
        <v>28841.79</v>
      </c>
      <c r="N294" s="166">
        <f>+M294/E294*100</f>
        <v>87.399363636363631</v>
      </c>
    </row>
    <row r="295" spans="1:14" ht="15.75" customHeight="1" x14ac:dyDescent="0.25">
      <c r="A295" s="131">
        <v>3722</v>
      </c>
      <c r="B295" s="132" t="s">
        <v>53</v>
      </c>
      <c r="C295" s="130"/>
      <c r="D295" s="130"/>
      <c r="E295" s="130"/>
      <c r="F295" s="130"/>
      <c r="G295" s="130"/>
      <c r="H295" s="130"/>
      <c r="I295" s="130"/>
      <c r="J295" s="130"/>
      <c r="K295" s="130"/>
      <c r="L295" s="134"/>
      <c r="M295" s="130">
        <f>21889.9+6951.89</f>
        <v>28841.79</v>
      </c>
      <c r="N295" s="167"/>
    </row>
    <row r="296" spans="1:14" ht="15.75" customHeight="1" x14ac:dyDescent="0.25">
      <c r="A296" s="128">
        <v>4</v>
      </c>
      <c r="B296" s="129" t="s">
        <v>138</v>
      </c>
      <c r="C296" s="130"/>
      <c r="D296" s="130">
        <f>+D297+D300</f>
        <v>0</v>
      </c>
      <c r="E296" s="130">
        <f>+E297+E300</f>
        <v>11000</v>
      </c>
      <c r="F296" s="130">
        <f t="shared" ref="F296:L296" si="191">+F297+F300</f>
        <v>45000</v>
      </c>
      <c r="G296" s="130">
        <f t="shared" si="191"/>
        <v>7100</v>
      </c>
      <c r="H296" s="130">
        <f t="shared" si="191"/>
        <v>0</v>
      </c>
      <c r="I296" s="130">
        <f t="shared" si="191"/>
        <v>0</v>
      </c>
      <c r="J296" s="130">
        <f t="shared" si="191"/>
        <v>6000</v>
      </c>
      <c r="K296" s="130">
        <f t="shared" si="191"/>
        <v>0</v>
      </c>
      <c r="L296" s="130">
        <f t="shared" si="191"/>
        <v>0</v>
      </c>
      <c r="M296" s="130">
        <f>+M297+M300</f>
        <v>10350</v>
      </c>
      <c r="N296" s="166">
        <f>+M296/E296*100</f>
        <v>94.090909090909093</v>
      </c>
    </row>
    <row r="297" spans="1:14" ht="15.75" customHeight="1" x14ac:dyDescent="0.25">
      <c r="A297" s="128">
        <v>42</v>
      </c>
      <c r="B297" s="129" t="s">
        <v>140</v>
      </c>
      <c r="C297" s="130"/>
      <c r="D297" s="130">
        <f t="shared" ref="D297:L297" si="192">+D298</f>
        <v>0</v>
      </c>
      <c r="E297" s="130">
        <f t="shared" si="192"/>
        <v>11000</v>
      </c>
      <c r="F297" s="130">
        <f t="shared" si="192"/>
        <v>45000</v>
      </c>
      <c r="G297" s="130">
        <f t="shared" si="192"/>
        <v>7100</v>
      </c>
      <c r="H297" s="130">
        <f t="shared" si="192"/>
        <v>0</v>
      </c>
      <c r="I297" s="130">
        <f t="shared" si="192"/>
        <v>0</v>
      </c>
      <c r="J297" s="130">
        <f t="shared" si="192"/>
        <v>6000</v>
      </c>
      <c r="K297" s="130">
        <f t="shared" si="192"/>
        <v>0</v>
      </c>
      <c r="L297" s="130">
        <f t="shared" si="192"/>
        <v>0</v>
      </c>
      <c r="M297" s="130">
        <f>+M298</f>
        <v>10350</v>
      </c>
      <c r="N297" s="166">
        <f>+M297/E297*100</f>
        <v>94.090909090909093</v>
      </c>
    </row>
    <row r="298" spans="1:14" ht="15.75" customHeight="1" x14ac:dyDescent="0.25">
      <c r="A298" s="128">
        <v>422</v>
      </c>
      <c r="B298" s="129" t="s">
        <v>59</v>
      </c>
      <c r="C298" s="130"/>
      <c r="D298" s="130">
        <v>0</v>
      </c>
      <c r="E298" s="130">
        <v>11000</v>
      </c>
      <c r="F298" s="130">
        <v>45000</v>
      </c>
      <c r="G298" s="130">
        <v>7100</v>
      </c>
      <c r="H298" s="130"/>
      <c r="I298" s="130"/>
      <c r="J298" s="130">
        <v>6000</v>
      </c>
      <c r="K298" s="130"/>
      <c r="L298" s="134"/>
      <c r="M298" s="130">
        <f>+M299</f>
        <v>10350</v>
      </c>
      <c r="N298" s="166">
        <f>+M298/E298*100</f>
        <v>94.090909090909093</v>
      </c>
    </row>
    <row r="299" spans="1:14" s="39" customFormat="1" ht="15.75" customHeight="1" x14ac:dyDescent="0.25">
      <c r="A299" s="131">
        <v>4221</v>
      </c>
      <c r="B299" s="132" t="s">
        <v>79</v>
      </c>
      <c r="C299" s="133"/>
      <c r="D299" s="133"/>
      <c r="E299" s="133"/>
      <c r="F299" s="133"/>
      <c r="G299" s="133"/>
      <c r="H299" s="133"/>
      <c r="I299" s="133"/>
      <c r="J299" s="133"/>
      <c r="K299" s="133"/>
      <c r="L299" s="135"/>
      <c r="M299" s="133">
        <v>10350</v>
      </c>
      <c r="N299" s="167"/>
    </row>
    <row r="300" spans="1:14" s="38" customFormat="1" ht="15.75" customHeight="1" x14ac:dyDescent="0.25">
      <c r="A300" s="128">
        <v>45</v>
      </c>
      <c r="B300" s="129" t="s">
        <v>178</v>
      </c>
      <c r="C300" s="130"/>
      <c r="D300" s="130">
        <f>+D301</f>
        <v>0</v>
      </c>
      <c r="E300" s="130">
        <f>+E301</f>
        <v>0</v>
      </c>
      <c r="F300" s="130"/>
      <c r="G300" s="130"/>
      <c r="H300" s="130"/>
      <c r="I300" s="130"/>
      <c r="J300" s="130"/>
      <c r="K300" s="130"/>
      <c r="L300" s="134"/>
      <c r="M300" s="130">
        <f>+M301</f>
        <v>0</v>
      </c>
      <c r="N300" s="166" t="e">
        <f>+M300/E300*100</f>
        <v>#DIV/0!</v>
      </c>
    </row>
    <row r="301" spans="1:14" ht="15.75" customHeight="1" x14ac:dyDescent="0.25">
      <c r="A301" s="128">
        <v>451</v>
      </c>
      <c r="B301" s="129" t="s">
        <v>162</v>
      </c>
      <c r="C301" s="130"/>
      <c r="D301" s="130">
        <v>0</v>
      </c>
      <c r="E301" s="130">
        <v>0</v>
      </c>
      <c r="F301" s="130">
        <v>655000</v>
      </c>
      <c r="G301" s="130"/>
      <c r="H301" s="130"/>
      <c r="I301" s="130"/>
      <c r="J301" s="130"/>
      <c r="K301" s="130"/>
      <c r="L301" s="134"/>
      <c r="M301" s="130">
        <f>+M302</f>
        <v>0</v>
      </c>
      <c r="N301" s="166" t="e">
        <f>+M301/E301*100</f>
        <v>#DIV/0!</v>
      </c>
    </row>
    <row r="302" spans="1:14" ht="15.75" customHeight="1" x14ac:dyDescent="0.25">
      <c r="A302" s="139">
        <v>4511</v>
      </c>
      <c r="B302" s="140" t="s">
        <v>177</v>
      </c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67"/>
    </row>
    <row r="303" spans="1:14" ht="15.75" customHeight="1" x14ac:dyDescent="0.25">
      <c r="A303" s="160" t="s">
        <v>171</v>
      </c>
      <c r="B303" s="158"/>
      <c r="C303" s="159">
        <f t="shared" ref="C303:M303" si="193">+C304+C318</f>
        <v>8800</v>
      </c>
      <c r="D303" s="159">
        <f t="shared" ref="D303" si="194">+D304+D318</f>
        <v>22100</v>
      </c>
      <c r="E303" s="159">
        <f t="shared" si="193"/>
        <v>25600</v>
      </c>
      <c r="F303" s="159">
        <f t="shared" si="193"/>
        <v>0</v>
      </c>
      <c r="G303" s="159">
        <f t="shared" si="193"/>
        <v>0</v>
      </c>
      <c r="H303" s="159">
        <f t="shared" si="193"/>
        <v>0</v>
      </c>
      <c r="I303" s="159">
        <f t="shared" si="193"/>
        <v>0</v>
      </c>
      <c r="J303" s="159">
        <f t="shared" si="193"/>
        <v>0</v>
      </c>
      <c r="K303" s="159">
        <f t="shared" si="193"/>
        <v>0</v>
      </c>
      <c r="L303" s="159">
        <f t="shared" si="193"/>
        <v>0</v>
      </c>
      <c r="M303" s="159">
        <f t="shared" si="193"/>
        <v>21923.64</v>
      </c>
      <c r="N303" s="196">
        <f>+M303/E303*100</f>
        <v>85.639218749999998</v>
      </c>
    </row>
    <row r="304" spans="1:14" ht="15.75" customHeight="1" x14ac:dyDescent="0.25">
      <c r="A304" s="128">
        <v>3</v>
      </c>
      <c r="B304" s="129" t="s">
        <v>41</v>
      </c>
      <c r="C304" s="130">
        <f>+C305</f>
        <v>8800</v>
      </c>
      <c r="D304" s="130">
        <f t="shared" ref="D304:M304" si="195">+D305</f>
        <v>22100</v>
      </c>
      <c r="E304" s="130">
        <f t="shared" si="195"/>
        <v>23000</v>
      </c>
      <c r="F304" s="130">
        <f t="shared" si="195"/>
        <v>0</v>
      </c>
      <c r="G304" s="130">
        <f t="shared" si="195"/>
        <v>0</v>
      </c>
      <c r="H304" s="130">
        <f t="shared" si="195"/>
        <v>0</v>
      </c>
      <c r="I304" s="130">
        <f t="shared" si="195"/>
        <v>0</v>
      </c>
      <c r="J304" s="130">
        <f t="shared" si="195"/>
        <v>0</v>
      </c>
      <c r="K304" s="130">
        <f t="shared" si="195"/>
        <v>0</v>
      </c>
      <c r="L304" s="130">
        <f t="shared" si="195"/>
        <v>0</v>
      </c>
      <c r="M304" s="130">
        <f t="shared" si="195"/>
        <v>21923.64</v>
      </c>
      <c r="N304" s="166">
        <f>+M304/E304*100</f>
        <v>95.320173913043476</v>
      </c>
    </row>
    <row r="305" spans="1:14" ht="15.75" customHeight="1" x14ac:dyDescent="0.25">
      <c r="A305" s="128">
        <v>32</v>
      </c>
      <c r="B305" s="129" t="s">
        <v>46</v>
      </c>
      <c r="C305" s="130">
        <f t="shared" ref="C305:L305" si="196">+C306+C309+C314+C312</f>
        <v>8800</v>
      </c>
      <c r="D305" s="130">
        <f t="shared" ref="D305" si="197">+D306+D309+D314+D312</f>
        <v>22100</v>
      </c>
      <c r="E305" s="130">
        <f t="shared" si="196"/>
        <v>23000</v>
      </c>
      <c r="F305" s="130">
        <f t="shared" si="196"/>
        <v>0</v>
      </c>
      <c r="G305" s="130">
        <f t="shared" si="196"/>
        <v>0</v>
      </c>
      <c r="H305" s="130">
        <f t="shared" si="196"/>
        <v>0</v>
      </c>
      <c r="I305" s="130">
        <f t="shared" si="196"/>
        <v>0</v>
      </c>
      <c r="J305" s="130">
        <f t="shared" si="196"/>
        <v>0</v>
      </c>
      <c r="K305" s="130">
        <f t="shared" si="196"/>
        <v>0</v>
      </c>
      <c r="L305" s="130">
        <f t="shared" si="196"/>
        <v>0</v>
      </c>
      <c r="M305" s="130">
        <f>+M306+M309+M314+M312</f>
        <v>21923.64</v>
      </c>
      <c r="N305" s="166">
        <f>+M305/E305*100</f>
        <v>95.320173913043476</v>
      </c>
    </row>
    <row r="306" spans="1:14" s="38" customFormat="1" ht="15.75" customHeight="1" x14ac:dyDescent="0.25">
      <c r="A306" s="128">
        <v>321</v>
      </c>
      <c r="B306" s="129" t="s">
        <v>47</v>
      </c>
      <c r="C306" s="130">
        <v>1500</v>
      </c>
      <c r="D306" s="130">
        <v>2000</v>
      </c>
      <c r="E306" s="130">
        <v>450</v>
      </c>
      <c r="F306" s="130"/>
      <c r="G306" s="130"/>
      <c r="H306" s="130"/>
      <c r="I306" s="130"/>
      <c r="J306" s="130"/>
      <c r="K306" s="130"/>
      <c r="L306" s="134"/>
      <c r="M306" s="130">
        <f>+M307+M308</f>
        <v>4106</v>
      </c>
      <c r="N306" s="166">
        <f>+M306/E306*100</f>
        <v>912.44444444444446</v>
      </c>
    </row>
    <row r="307" spans="1:14" s="38" customFormat="1" ht="15.75" customHeight="1" x14ac:dyDescent="0.25">
      <c r="A307" s="131">
        <v>3211</v>
      </c>
      <c r="B307" s="132" t="s">
        <v>195</v>
      </c>
      <c r="C307" s="133"/>
      <c r="D307" s="133"/>
      <c r="E307" s="133"/>
      <c r="F307" s="133"/>
      <c r="G307" s="133"/>
      <c r="H307" s="133"/>
      <c r="I307" s="133"/>
      <c r="J307" s="133"/>
      <c r="K307" s="133"/>
      <c r="L307" s="135"/>
      <c r="M307" s="133">
        <f>1295+450</f>
        <v>1745</v>
      </c>
      <c r="N307" s="167"/>
    </row>
    <row r="308" spans="1:14" s="38" customFormat="1" ht="15.75" customHeight="1" x14ac:dyDescent="0.25">
      <c r="A308" s="131">
        <v>3214</v>
      </c>
      <c r="B308" s="132" t="s">
        <v>82</v>
      </c>
      <c r="C308" s="133"/>
      <c r="D308" s="133"/>
      <c r="E308" s="133"/>
      <c r="F308" s="133"/>
      <c r="G308" s="133"/>
      <c r="H308" s="133"/>
      <c r="I308" s="133"/>
      <c r="J308" s="133"/>
      <c r="K308" s="133"/>
      <c r="L308" s="135"/>
      <c r="M308" s="133">
        <f>2295+66</f>
        <v>2361</v>
      </c>
      <c r="N308" s="167"/>
    </row>
    <row r="309" spans="1:14" s="38" customFormat="1" ht="15.75" customHeight="1" x14ac:dyDescent="0.25">
      <c r="A309" s="128">
        <v>322</v>
      </c>
      <c r="B309" s="129" t="s">
        <v>48</v>
      </c>
      <c r="C309" s="130">
        <v>3500</v>
      </c>
      <c r="D309" s="130">
        <v>11121</v>
      </c>
      <c r="E309" s="130">
        <v>13450</v>
      </c>
      <c r="F309" s="130"/>
      <c r="G309" s="130"/>
      <c r="H309" s="130"/>
      <c r="I309" s="130"/>
      <c r="J309" s="130"/>
      <c r="K309" s="130"/>
      <c r="L309" s="134"/>
      <c r="M309" s="130">
        <f>+M310+M311</f>
        <v>10953.48</v>
      </c>
      <c r="N309" s="166">
        <f>+M309/E309*100</f>
        <v>81.438513011152409</v>
      </c>
    </row>
    <row r="310" spans="1:14" s="39" customFormat="1" ht="15.75" customHeight="1" x14ac:dyDescent="0.25">
      <c r="A310" s="131">
        <v>3221</v>
      </c>
      <c r="B310" s="132" t="s">
        <v>73</v>
      </c>
      <c r="C310" s="133"/>
      <c r="D310" s="133"/>
      <c r="E310" s="133"/>
      <c r="F310" s="133"/>
      <c r="G310" s="133"/>
      <c r="H310" s="133"/>
      <c r="I310" s="133"/>
      <c r="J310" s="133"/>
      <c r="K310" s="133"/>
      <c r="L310" s="135"/>
      <c r="M310" s="133">
        <v>3303.48</v>
      </c>
      <c r="N310" s="167"/>
    </row>
    <row r="311" spans="1:14" ht="15.75" customHeight="1" x14ac:dyDescent="0.25">
      <c r="A311" s="131">
        <v>3225</v>
      </c>
      <c r="B311" s="132" t="s">
        <v>84</v>
      </c>
      <c r="C311" s="133"/>
      <c r="D311" s="133"/>
      <c r="E311" s="133"/>
      <c r="F311" s="133"/>
      <c r="G311" s="133"/>
      <c r="H311" s="133"/>
      <c r="I311" s="133"/>
      <c r="J311" s="133"/>
      <c r="K311" s="133"/>
      <c r="L311" s="135"/>
      <c r="M311" s="133">
        <v>7650</v>
      </c>
      <c r="N311" s="167"/>
    </row>
    <row r="312" spans="1:14" s="38" customFormat="1" ht="15.75" customHeight="1" x14ac:dyDescent="0.25">
      <c r="A312" s="128">
        <v>323</v>
      </c>
      <c r="B312" s="129" t="s">
        <v>49</v>
      </c>
      <c r="C312" s="130">
        <v>0</v>
      </c>
      <c r="D312" s="130">
        <v>0</v>
      </c>
      <c r="E312" s="130">
        <v>1000</v>
      </c>
      <c r="F312" s="130"/>
      <c r="G312" s="130"/>
      <c r="H312" s="130"/>
      <c r="I312" s="130"/>
      <c r="J312" s="130"/>
      <c r="K312" s="130"/>
      <c r="L312" s="134"/>
      <c r="M312" s="130">
        <f>+M313</f>
        <v>977.5</v>
      </c>
      <c r="N312" s="166">
        <f>+M312/E312*100</f>
        <v>97.75</v>
      </c>
    </row>
    <row r="313" spans="1:14" s="39" customFormat="1" ht="15.75" customHeight="1" x14ac:dyDescent="0.25">
      <c r="A313" s="131">
        <v>3233</v>
      </c>
      <c r="B313" s="132" t="s">
        <v>117</v>
      </c>
      <c r="C313" s="133"/>
      <c r="D313" s="133"/>
      <c r="E313" s="133"/>
      <c r="F313" s="133"/>
      <c r="G313" s="133"/>
      <c r="H313" s="133"/>
      <c r="I313" s="133"/>
      <c r="J313" s="133"/>
      <c r="K313" s="133"/>
      <c r="L313" s="135"/>
      <c r="M313" s="133">
        <v>977.5</v>
      </c>
      <c r="N313" s="167"/>
    </row>
    <row r="314" spans="1:14" s="38" customFormat="1" ht="15.75" customHeight="1" x14ac:dyDescent="0.25">
      <c r="A314" s="128">
        <v>329</v>
      </c>
      <c r="B314" s="129" t="s">
        <v>50</v>
      </c>
      <c r="C314" s="130">
        <v>3800</v>
      </c>
      <c r="D314" s="130">
        <v>8979</v>
      </c>
      <c r="E314" s="130">
        <v>8100</v>
      </c>
      <c r="F314" s="130"/>
      <c r="G314" s="130"/>
      <c r="H314" s="130"/>
      <c r="I314" s="130"/>
      <c r="J314" s="130"/>
      <c r="K314" s="130"/>
      <c r="L314" s="134"/>
      <c r="M314" s="130">
        <f>SUM(M315:M317)</f>
        <v>5886.66</v>
      </c>
      <c r="N314" s="166">
        <f>+M314/E314*100</f>
        <v>72.674814814814809</v>
      </c>
    </row>
    <row r="315" spans="1:14" s="38" customFormat="1" ht="15.75" customHeight="1" x14ac:dyDescent="0.25">
      <c r="A315" s="131">
        <v>3293</v>
      </c>
      <c r="B315" s="132" t="s">
        <v>89</v>
      </c>
      <c r="C315" s="130"/>
      <c r="D315" s="130"/>
      <c r="E315" s="130"/>
      <c r="F315" s="130"/>
      <c r="G315" s="130"/>
      <c r="H315" s="130"/>
      <c r="I315" s="130"/>
      <c r="J315" s="130"/>
      <c r="K315" s="130"/>
      <c r="L315" s="134"/>
      <c r="M315" s="130">
        <f>1602.18+2515.48</f>
        <v>4117.66</v>
      </c>
      <c r="N315" s="167"/>
    </row>
    <row r="316" spans="1:14" s="38" customFormat="1" ht="15.75" customHeight="1" x14ac:dyDescent="0.25">
      <c r="A316" s="131">
        <v>3294</v>
      </c>
      <c r="B316" s="132" t="s">
        <v>90</v>
      </c>
      <c r="C316" s="130"/>
      <c r="D316" s="130"/>
      <c r="E316" s="130"/>
      <c r="F316" s="130"/>
      <c r="G316" s="130"/>
      <c r="H316" s="130"/>
      <c r="I316" s="130"/>
      <c r="J316" s="130"/>
      <c r="K316" s="130"/>
      <c r="L316" s="134"/>
      <c r="M316" s="130">
        <v>100</v>
      </c>
      <c r="N316" s="167"/>
    </row>
    <row r="317" spans="1:14" s="38" customFormat="1" ht="15.75" customHeight="1" x14ac:dyDescent="0.25">
      <c r="A317" s="131">
        <v>3299</v>
      </c>
      <c r="B317" s="132" t="s">
        <v>50</v>
      </c>
      <c r="C317" s="130"/>
      <c r="D317" s="130"/>
      <c r="E317" s="130"/>
      <c r="F317" s="130"/>
      <c r="G317" s="130"/>
      <c r="H317" s="130"/>
      <c r="I317" s="130"/>
      <c r="J317" s="130"/>
      <c r="K317" s="130"/>
      <c r="L317" s="134"/>
      <c r="M317" s="130">
        <v>1669</v>
      </c>
      <c r="N317" s="167"/>
    </row>
    <row r="318" spans="1:14" ht="15.75" customHeight="1" x14ac:dyDescent="0.25">
      <c r="A318" s="128">
        <v>4</v>
      </c>
      <c r="B318" s="129" t="s">
        <v>138</v>
      </c>
      <c r="C318" s="130">
        <f>+C319</f>
        <v>0</v>
      </c>
      <c r="D318" s="130">
        <f t="shared" ref="D318:M318" si="198">+D319</f>
        <v>0</v>
      </c>
      <c r="E318" s="130">
        <f t="shared" si="198"/>
        <v>2600</v>
      </c>
      <c r="F318" s="130">
        <f t="shared" si="198"/>
        <v>0</v>
      </c>
      <c r="G318" s="130">
        <f t="shared" si="198"/>
        <v>0</v>
      </c>
      <c r="H318" s="130">
        <f t="shared" si="198"/>
        <v>0</v>
      </c>
      <c r="I318" s="130">
        <f t="shared" si="198"/>
        <v>0</v>
      </c>
      <c r="J318" s="130">
        <f t="shared" si="198"/>
        <v>0</v>
      </c>
      <c r="K318" s="130">
        <f t="shared" si="198"/>
        <v>0</v>
      </c>
      <c r="L318" s="130">
        <f t="shared" si="198"/>
        <v>0</v>
      </c>
      <c r="M318" s="130">
        <f t="shared" si="198"/>
        <v>0</v>
      </c>
      <c r="N318" s="166">
        <f>+M318/E318*100</f>
        <v>0</v>
      </c>
    </row>
    <row r="319" spans="1:14" ht="15.75" customHeight="1" x14ac:dyDescent="0.25">
      <c r="A319" s="128">
        <v>42</v>
      </c>
      <c r="B319" s="129" t="s">
        <v>140</v>
      </c>
      <c r="C319" s="130">
        <f>+C320</f>
        <v>0</v>
      </c>
      <c r="D319" s="130">
        <f>+D320</f>
        <v>0</v>
      </c>
      <c r="E319" s="130">
        <f>+E320</f>
        <v>2600</v>
      </c>
      <c r="F319" s="130">
        <f>+F320+F322+F321</f>
        <v>0</v>
      </c>
      <c r="G319" s="130">
        <f t="shared" ref="G319:L319" si="199">+G320+G322</f>
        <v>0</v>
      </c>
      <c r="H319" s="130">
        <f t="shared" si="199"/>
        <v>0</v>
      </c>
      <c r="I319" s="130">
        <f t="shared" si="199"/>
        <v>0</v>
      </c>
      <c r="J319" s="130">
        <f t="shared" si="199"/>
        <v>0</v>
      </c>
      <c r="K319" s="130">
        <f t="shared" si="199"/>
        <v>0</v>
      </c>
      <c r="L319" s="134">
        <f t="shared" si="199"/>
        <v>0</v>
      </c>
      <c r="M319" s="130">
        <f>+M320+M322</f>
        <v>0</v>
      </c>
      <c r="N319" s="166">
        <f>+M319/E319*100</f>
        <v>0</v>
      </c>
    </row>
    <row r="320" spans="1:14" ht="15.75" customHeight="1" x14ac:dyDescent="0.25">
      <c r="A320" s="131">
        <v>422</v>
      </c>
      <c r="B320" s="132" t="s">
        <v>59</v>
      </c>
      <c r="C320" s="133"/>
      <c r="D320" s="133"/>
      <c r="E320" s="133">
        <v>2600</v>
      </c>
      <c r="F320" s="133"/>
      <c r="G320" s="133"/>
      <c r="H320" s="133"/>
      <c r="I320" s="133"/>
      <c r="J320" s="133"/>
      <c r="K320" s="133"/>
      <c r="L320" s="135"/>
      <c r="M320" s="133"/>
      <c r="N320" s="167">
        <f>+M320/E320*100</f>
        <v>0</v>
      </c>
    </row>
    <row r="321" spans="1:14" ht="15.75" customHeight="1" x14ac:dyDescent="0.25">
      <c r="A321" s="131">
        <v>423</v>
      </c>
      <c r="B321" s="132" t="s">
        <v>161</v>
      </c>
      <c r="C321" s="133"/>
      <c r="D321" s="133"/>
      <c r="E321" s="133"/>
      <c r="F321" s="133"/>
      <c r="G321" s="133"/>
      <c r="H321" s="133"/>
      <c r="I321" s="133"/>
      <c r="J321" s="133"/>
      <c r="K321" s="133"/>
      <c r="L321" s="135"/>
      <c r="M321" s="133"/>
      <c r="N321" s="167"/>
    </row>
    <row r="322" spans="1:14" ht="15.75" customHeight="1" x14ac:dyDescent="0.25">
      <c r="A322" s="131">
        <v>454</v>
      </c>
      <c r="B322" s="132" t="s">
        <v>162</v>
      </c>
      <c r="C322" s="133"/>
      <c r="D322" s="133"/>
      <c r="E322" s="133"/>
      <c r="F322" s="133"/>
      <c r="G322" s="133"/>
      <c r="H322" s="133"/>
      <c r="I322" s="133"/>
      <c r="J322" s="133"/>
      <c r="K322" s="133"/>
      <c r="L322" s="135"/>
      <c r="M322" s="133"/>
      <c r="N322" s="167"/>
    </row>
    <row r="323" spans="1:14" ht="15.75" customHeight="1" x14ac:dyDescent="0.25">
      <c r="A323" s="160" t="s">
        <v>172</v>
      </c>
      <c r="B323" s="158"/>
      <c r="C323" s="159">
        <f t="shared" ref="C323:M323" si="200">+C324+C331</f>
        <v>9000</v>
      </c>
      <c r="D323" s="159">
        <f t="shared" ref="D323" si="201">+D324+D331</f>
        <v>11000</v>
      </c>
      <c r="E323" s="159">
        <f t="shared" si="200"/>
        <v>13200</v>
      </c>
      <c r="F323" s="159">
        <f t="shared" si="200"/>
        <v>50000</v>
      </c>
      <c r="G323" s="159">
        <f t="shared" si="200"/>
        <v>3200</v>
      </c>
      <c r="H323" s="159">
        <f t="shared" si="200"/>
        <v>6000</v>
      </c>
      <c r="I323" s="159">
        <f t="shared" si="200"/>
        <v>0</v>
      </c>
      <c r="J323" s="159">
        <f t="shared" si="200"/>
        <v>0</v>
      </c>
      <c r="K323" s="159">
        <f t="shared" si="200"/>
        <v>0</v>
      </c>
      <c r="L323" s="159">
        <f t="shared" si="200"/>
        <v>0</v>
      </c>
      <c r="M323" s="159">
        <f t="shared" si="200"/>
        <v>12918.25</v>
      </c>
      <c r="N323" s="165">
        <f>+M323/E323*100</f>
        <v>97.865530303030297</v>
      </c>
    </row>
    <row r="324" spans="1:14" ht="15.75" customHeight="1" x14ac:dyDescent="0.25">
      <c r="A324" s="128">
        <v>3</v>
      </c>
      <c r="B324" s="129" t="s">
        <v>41</v>
      </c>
      <c r="C324" s="130">
        <f t="shared" ref="C324:L324" si="202">+C325</f>
        <v>9000</v>
      </c>
      <c r="D324" s="130">
        <f t="shared" si="202"/>
        <v>11000</v>
      </c>
      <c r="E324" s="130">
        <f t="shared" si="202"/>
        <v>13200</v>
      </c>
      <c r="F324" s="130">
        <f t="shared" si="202"/>
        <v>50000</v>
      </c>
      <c r="G324" s="130">
        <f t="shared" si="202"/>
        <v>3200</v>
      </c>
      <c r="H324" s="130">
        <f t="shared" si="202"/>
        <v>6000</v>
      </c>
      <c r="I324" s="130">
        <f t="shared" si="202"/>
        <v>0</v>
      </c>
      <c r="J324" s="130">
        <f t="shared" si="202"/>
        <v>0</v>
      </c>
      <c r="K324" s="130">
        <f t="shared" si="202"/>
        <v>0</v>
      </c>
      <c r="L324" s="130">
        <f t="shared" si="202"/>
        <v>0</v>
      </c>
      <c r="M324" s="130">
        <f>+M325</f>
        <v>12918.25</v>
      </c>
      <c r="N324" s="166">
        <f>+M324/E324*100</f>
        <v>97.865530303030297</v>
      </c>
    </row>
    <row r="325" spans="1:14" ht="15.75" customHeight="1" x14ac:dyDescent="0.25">
      <c r="A325" s="128">
        <v>32</v>
      </c>
      <c r="B325" s="129" t="s">
        <v>46</v>
      </c>
      <c r="C325" s="130">
        <f>+C326+C329</f>
        <v>9000</v>
      </c>
      <c r="D325" s="130">
        <f>+D326+D329</f>
        <v>11000</v>
      </c>
      <c r="E325" s="130">
        <f>+E326+E329</f>
        <v>13200</v>
      </c>
      <c r="F325" s="130">
        <f t="shared" ref="F325:L325" si="203">SUM(F329:F329)</f>
        <v>50000</v>
      </c>
      <c r="G325" s="130">
        <f t="shared" si="203"/>
        <v>3200</v>
      </c>
      <c r="H325" s="130">
        <f t="shared" si="203"/>
        <v>6000</v>
      </c>
      <c r="I325" s="130">
        <f t="shared" si="203"/>
        <v>0</v>
      </c>
      <c r="J325" s="130">
        <f t="shared" si="203"/>
        <v>0</v>
      </c>
      <c r="K325" s="130">
        <f t="shared" si="203"/>
        <v>0</v>
      </c>
      <c r="L325" s="130">
        <f t="shared" si="203"/>
        <v>0</v>
      </c>
      <c r="M325" s="130">
        <f>+M326+M329</f>
        <v>12918.25</v>
      </c>
      <c r="N325" s="166">
        <f>+M325/E325*100</f>
        <v>97.865530303030297</v>
      </c>
    </row>
    <row r="326" spans="1:14" ht="15.75" customHeight="1" x14ac:dyDescent="0.25">
      <c r="A326" s="128">
        <v>323</v>
      </c>
      <c r="B326" s="129" t="s">
        <v>49</v>
      </c>
      <c r="C326" s="130">
        <v>3000</v>
      </c>
      <c r="D326" s="130">
        <v>3000</v>
      </c>
      <c r="E326" s="130">
        <v>3000</v>
      </c>
      <c r="F326" s="130"/>
      <c r="G326" s="130"/>
      <c r="H326" s="130"/>
      <c r="I326" s="130"/>
      <c r="J326" s="130"/>
      <c r="K326" s="130"/>
      <c r="L326" s="134"/>
      <c r="M326" s="130">
        <f>+M327+M328</f>
        <v>3116.25</v>
      </c>
      <c r="N326" s="166"/>
    </row>
    <row r="327" spans="1:14" s="39" customFormat="1" ht="15.75" customHeight="1" x14ac:dyDescent="0.25">
      <c r="A327" s="131">
        <v>3231</v>
      </c>
      <c r="B327" s="132" t="s">
        <v>196</v>
      </c>
      <c r="C327" s="133"/>
      <c r="D327" s="133"/>
      <c r="E327" s="133"/>
      <c r="F327" s="133"/>
      <c r="G327" s="133"/>
      <c r="H327" s="133"/>
      <c r="I327" s="133"/>
      <c r="J327" s="133"/>
      <c r="K327" s="133"/>
      <c r="L327" s="135"/>
      <c r="M327" s="133">
        <v>2835</v>
      </c>
      <c r="N327" s="167"/>
    </row>
    <row r="328" spans="1:14" s="39" customFormat="1" ht="15.75" customHeight="1" x14ac:dyDescent="0.25">
      <c r="A328" s="131">
        <v>3232</v>
      </c>
      <c r="B328" s="132" t="s">
        <v>76</v>
      </c>
      <c r="C328" s="133"/>
      <c r="D328" s="133"/>
      <c r="E328" s="133"/>
      <c r="F328" s="133"/>
      <c r="G328" s="133"/>
      <c r="H328" s="133"/>
      <c r="I328" s="133"/>
      <c r="J328" s="133"/>
      <c r="K328" s="133"/>
      <c r="L328" s="135"/>
      <c r="M328" s="133">
        <v>281.25</v>
      </c>
      <c r="N328" s="167"/>
    </row>
    <row r="329" spans="1:14" s="38" customFormat="1" ht="15.75" customHeight="1" x14ac:dyDescent="0.25">
      <c r="A329" s="128">
        <v>329</v>
      </c>
      <c r="B329" s="129" t="s">
        <v>50</v>
      </c>
      <c r="C329" s="130">
        <v>6000</v>
      </c>
      <c r="D329" s="130">
        <v>8000</v>
      </c>
      <c r="E329" s="130">
        <v>10200</v>
      </c>
      <c r="F329" s="130">
        <v>50000</v>
      </c>
      <c r="G329" s="130">
        <f>1000+100+2100</f>
        <v>3200</v>
      </c>
      <c r="H329" s="130">
        <v>6000</v>
      </c>
      <c r="I329" s="130"/>
      <c r="J329" s="130"/>
      <c r="K329" s="130"/>
      <c r="L329" s="134"/>
      <c r="M329" s="130">
        <f>+M330</f>
        <v>9802</v>
      </c>
      <c r="N329" s="166">
        <f>+M329/E329*100</f>
        <v>96.098039215686271</v>
      </c>
    </row>
    <row r="330" spans="1:14" ht="15.75" customHeight="1" x14ac:dyDescent="0.25">
      <c r="A330" s="139">
        <v>3299</v>
      </c>
      <c r="B330" s="140" t="s">
        <v>50</v>
      </c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>
        <v>9802</v>
      </c>
      <c r="N330" s="171"/>
    </row>
    <row r="331" spans="1:14" ht="15.75" customHeight="1" x14ac:dyDescent="0.25">
      <c r="A331" s="128">
        <v>372</v>
      </c>
      <c r="B331" s="129" t="s">
        <v>54</v>
      </c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>
        <f>+M332</f>
        <v>0</v>
      </c>
      <c r="N331" s="168" t="e">
        <f>+M331/E331*100</f>
        <v>#DIV/0!</v>
      </c>
    </row>
    <row r="332" spans="1:14" ht="15.75" customHeight="1" x14ac:dyDescent="0.25">
      <c r="A332" s="131">
        <v>3722</v>
      </c>
      <c r="B332" s="132" t="s">
        <v>53</v>
      </c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71"/>
    </row>
    <row r="333" spans="1:14" ht="15.75" customHeight="1" x14ac:dyDescent="0.25">
      <c r="A333" s="160" t="s">
        <v>173</v>
      </c>
      <c r="B333" s="158"/>
      <c r="C333" s="159">
        <f t="shared" ref="C333:L333" si="204">+C334</f>
        <v>70000</v>
      </c>
      <c r="D333" s="159">
        <f t="shared" si="204"/>
        <v>70000</v>
      </c>
      <c r="E333" s="159">
        <f t="shared" si="204"/>
        <v>59000</v>
      </c>
      <c r="F333" s="159">
        <f t="shared" si="204"/>
        <v>57000</v>
      </c>
      <c r="G333" s="159">
        <f t="shared" si="204"/>
        <v>0</v>
      </c>
      <c r="H333" s="159">
        <f t="shared" si="204"/>
        <v>0</v>
      </c>
      <c r="I333" s="159">
        <f t="shared" si="204"/>
        <v>60000</v>
      </c>
      <c r="J333" s="159">
        <f t="shared" si="204"/>
        <v>0</v>
      </c>
      <c r="K333" s="159">
        <f t="shared" si="204"/>
        <v>0</v>
      </c>
      <c r="L333" s="159">
        <f t="shared" si="204"/>
        <v>0</v>
      </c>
      <c r="M333" s="159">
        <f>+M334</f>
        <v>48281.19</v>
      </c>
      <c r="N333" s="165">
        <f>+M333/E333*100</f>
        <v>81.832525423728825</v>
      </c>
    </row>
    <row r="334" spans="1:14" ht="15.75" customHeight="1" x14ac:dyDescent="0.25">
      <c r="A334" s="128">
        <v>3</v>
      </c>
      <c r="B334" s="129" t="s">
        <v>41</v>
      </c>
      <c r="C334" s="130">
        <f>+C338</f>
        <v>70000</v>
      </c>
      <c r="D334" s="130">
        <f>+D338</f>
        <v>70000</v>
      </c>
      <c r="E334" s="130">
        <f>+E336+E338</f>
        <v>59000</v>
      </c>
      <c r="F334" s="130">
        <f t="shared" ref="F334:L334" si="205">+F338</f>
        <v>57000</v>
      </c>
      <c r="G334" s="130">
        <f t="shared" si="205"/>
        <v>0</v>
      </c>
      <c r="H334" s="130">
        <f t="shared" si="205"/>
        <v>0</v>
      </c>
      <c r="I334" s="130">
        <f t="shared" si="205"/>
        <v>60000</v>
      </c>
      <c r="J334" s="130">
        <f t="shared" si="205"/>
        <v>0</v>
      </c>
      <c r="K334" s="130">
        <f t="shared" si="205"/>
        <v>0</v>
      </c>
      <c r="L334" s="130">
        <f t="shared" si="205"/>
        <v>0</v>
      </c>
      <c r="M334" s="130">
        <f>+M335+M338</f>
        <v>48281.19</v>
      </c>
      <c r="N334" s="166">
        <f>+M334/E334*100</f>
        <v>81.832525423728825</v>
      </c>
    </row>
    <row r="335" spans="1:14" ht="15.75" customHeight="1" x14ac:dyDescent="0.25">
      <c r="A335" s="128">
        <v>31</v>
      </c>
      <c r="B335" s="129" t="s">
        <v>42</v>
      </c>
      <c r="C335" s="130"/>
      <c r="D335" s="130"/>
      <c r="E335" s="130"/>
      <c r="F335" s="130"/>
      <c r="G335" s="130"/>
      <c r="H335" s="130"/>
      <c r="I335" s="130"/>
      <c r="J335" s="130"/>
      <c r="K335" s="130"/>
      <c r="L335" s="134"/>
      <c r="M335" s="130">
        <f>+M336</f>
        <v>4501.3900000000003</v>
      </c>
      <c r="N335" s="166"/>
    </row>
    <row r="336" spans="1:14" ht="15.75" customHeight="1" x14ac:dyDescent="0.25">
      <c r="A336" s="128">
        <v>312</v>
      </c>
      <c r="B336" s="129" t="s">
        <v>44</v>
      </c>
      <c r="C336" s="130"/>
      <c r="D336" s="130"/>
      <c r="E336" s="130">
        <v>9000</v>
      </c>
      <c r="F336" s="130">
        <f>6000+105000</f>
        <v>111000</v>
      </c>
      <c r="G336" s="130"/>
      <c r="H336" s="130"/>
      <c r="I336" s="130"/>
      <c r="J336" s="130"/>
      <c r="K336" s="130"/>
      <c r="L336" s="134"/>
      <c r="M336" s="130">
        <f>+M337</f>
        <v>4501.3900000000003</v>
      </c>
      <c r="N336" s="166">
        <f>+M336/E336*100</f>
        <v>50.015444444444448</v>
      </c>
    </row>
    <row r="337" spans="1:14" ht="15.75" customHeight="1" x14ac:dyDescent="0.25">
      <c r="A337" s="131">
        <v>3121</v>
      </c>
      <c r="B337" s="132" t="s">
        <v>44</v>
      </c>
      <c r="C337" s="130"/>
      <c r="D337" s="130"/>
      <c r="E337" s="130"/>
      <c r="F337" s="130"/>
      <c r="G337" s="130"/>
      <c r="H337" s="130"/>
      <c r="I337" s="130"/>
      <c r="J337" s="130"/>
      <c r="K337" s="130"/>
      <c r="L337" s="134"/>
      <c r="M337" s="130">
        <v>4501.3900000000003</v>
      </c>
      <c r="N337" s="167"/>
    </row>
    <row r="338" spans="1:14" ht="30.75" customHeight="1" x14ac:dyDescent="0.25">
      <c r="A338" s="128">
        <v>37</v>
      </c>
      <c r="B338" s="129" t="s">
        <v>137</v>
      </c>
      <c r="C338" s="130">
        <f t="shared" ref="C338:M338" si="206">+C339</f>
        <v>70000</v>
      </c>
      <c r="D338" s="130">
        <f t="shared" si="206"/>
        <v>70000</v>
      </c>
      <c r="E338" s="130">
        <f t="shared" si="206"/>
        <v>50000</v>
      </c>
      <c r="F338" s="130">
        <f t="shared" si="206"/>
        <v>57000</v>
      </c>
      <c r="G338" s="130">
        <f t="shared" si="206"/>
        <v>0</v>
      </c>
      <c r="H338" s="130">
        <f t="shared" si="206"/>
        <v>0</v>
      </c>
      <c r="I338" s="130">
        <f t="shared" si="206"/>
        <v>60000</v>
      </c>
      <c r="J338" s="130">
        <f t="shared" si="206"/>
        <v>0</v>
      </c>
      <c r="K338" s="130">
        <f t="shared" si="206"/>
        <v>0</v>
      </c>
      <c r="L338" s="130">
        <f t="shared" si="206"/>
        <v>0</v>
      </c>
      <c r="M338" s="130">
        <f t="shared" si="206"/>
        <v>43779.8</v>
      </c>
      <c r="N338" s="166">
        <f>+M338/E338*100</f>
        <v>87.559600000000003</v>
      </c>
    </row>
    <row r="339" spans="1:14" s="38" customFormat="1" ht="15.75" customHeight="1" x14ac:dyDescent="0.25">
      <c r="A339" s="128">
        <v>372</v>
      </c>
      <c r="B339" s="129" t="s">
        <v>54</v>
      </c>
      <c r="C339" s="130">
        <v>70000</v>
      </c>
      <c r="D339" s="130">
        <v>70000</v>
      </c>
      <c r="E339" s="130">
        <v>50000</v>
      </c>
      <c r="F339" s="130">
        <f>30000+27000</f>
        <v>57000</v>
      </c>
      <c r="G339" s="130"/>
      <c r="H339" s="130"/>
      <c r="I339" s="130">
        <v>60000</v>
      </c>
      <c r="J339" s="130"/>
      <c r="K339" s="130"/>
      <c r="L339" s="134"/>
      <c r="M339" s="130">
        <f>+M340</f>
        <v>43779.8</v>
      </c>
      <c r="N339" s="166">
        <f>+M339/E339*100</f>
        <v>87.559600000000003</v>
      </c>
    </row>
    <row r="340" spans="1:14" ht="15.75" customHeight="1" x14ac:dyDescent="0.25">
      <c r="A340" s="131">
        <v>3722</v>
      </c>
      <c r="B340" s="132" t="s">
        <v>53</v>
      </c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>
        <v>43779.8</v>
      </c>
      <c r="N340" s="171"/>
    </row>
    <row r="341" spans="1:14" ht="15.75" customHeight="1" x14ac:dyDescent="0.25">
      <c r="A341" s="160" t="s">
        <v>174</v>
      </c>
      <c r="B341" s="158"/>
      <c r="C341" s="159">
        <f t="shared" ref="C341:L341" si="207">+C342+C351</f>
        <v>20000</v>
      </c>
      <c r="D341" s="159">
        <f t="shared" ref="D341" si="208">+D342+D351</f>
        <v>20000</v>
      </c>
      <c r="E341" s="159">
        <f t="shared" si="207"/>
        <v>20000</v>
      </c>
      <c r="F341" s="159">
        <f t="shared" si="207"/>
        <v>716000</v>
      </c>
      <c r="G341" s="159">
        <f t="shared" si="207"/>
        <v>18600</v>
      </c>
      <c r="H341" s="159">
        <f t="shared" si="207"/>
        <v>0</v>
      </c>
      <c r="I341" s="159">
        <f t="shared" si="207"/>
        <v>0</v>
      </c>
      <c r="J341" s="159">
        <f t="shared" si="207"/>
        <v>16000</v>
      </c>
      <c r="K341" s="159">
        <f t="shared" si="207"/>
        <v>0</v>
      </c>
      <c r="L341" s="159">
        <f t="shared" si="207"/>
        <v>0</v>
      </c>
      <c r="M341" s="159">
        <f>+M342+M351</f>
        <v>15692.02</v>
      </c>
      <c r="N341" s="165">
        <f>+M341/E341*100</f>
        <v>78.460099999999997</v>
      </c>
    </row>
    <row r="342" spans="1:14" ht="15.75" customHeight="1" x14ac:dyDescent="0.25">
      <c r="A342" s="128">
        <v>3</v>
      </c>
      <c r="B342" s="129" t="s">
        <v>41</v>
      </c>
      <c r="C342" s="130">
        <f t="shared" ref="C342:L342" si="209">+C343</f>
        <v>5000</v>
      </c>
      <c r="D342" s="130">
        <f t="shared" si="209"/>
        <v>5000</v>
      </c>
      <c r="E342" s="130">
        <f t="shared" si="209"/>
        <v>5000</v>
      </c>
      <c r="F342" s="130">
        <f t="shared" si="209"/>
        <v>16000</v>
      </c>
      <c r="G342" s="130">
        <f t="shared" si="209"/>
        <v>11500</v>
      </c>
      <c r="H342" s="130">
        <f t="shared" si="209"/>
        <v>0</v>
      </c>
      <c r="I342" s="130">
        <f t="shared" si="209"/>
        <v>0</v>
      </c>
      <c r="J342" s="130">
        <f t="shared" si="209"/>
        <v>10000</v>
      </c>
      <c r="K342" s="130">
        <f t="shared" si="209"/>
        <v>0</v>
      </c>
      <c r="L342" s="130">
        <f t="shared" si="209"/>
        <v>0</v>
      </c>
      <c r="M342" s="130">
        <f>+M343</f>
        <v>4402.88</v>
      </c>
      <c r="N342" s="166">
        <f>+M342/E342*100</f>
        <v>88.057600000000008</v>
      </c>
    </row>
    <row r="343" spans="1:14" ht="15.75" customHeight="1" x14ac:dyDescent="0.25">
      <c r="A343" s="128">
        <v>32</v>
      </c>
      <c r="B343" s="129" t="s">
        <v>46</v>
      </c>
      <c r="C343" s="130">
        <f>+C345+C349</f>
        <v>5000</v>
      </c>
      <c r="D343" s="130">
        <f>+D345+D349</f>
        <v>5000</v>
      </c>
      <c r="E343" s="130">
        <f>+E345+E349</f>
        <v>5000</v>
      </c>
      <c r="F343" s="130">
        <f t="shared" ref="F343:L343" si="210">+F345</f>
        <v>16000</v>
      </c>
      <c r="G343" s="130">
        <f t="shared" si="210"/>
        <v>11500</v>
      </c>
      <c r="H343" s="130">
        <f t="shared" si="210"/>
        <v>0</v>
      </c>
      <c r="I343" s="130">
        <f t="shared" si="210"/>
        <v>0</v>
      </c>
      <c r="J343" s="130">
        <f t="shared" si="210"/>
        <v>10000</v>
      </c>
      <c r="K343" s="130">
        <f t="shared" si="210"/>
        <v>0</v>
      </c>
      <c r="L343" s="130">
        <f t="shared" si="210"/>
        <v>0</v>
      </c>
      <c r="M343" s="130">
        <f>+M345</f>
        <v>4402.88</v>
      </c>
      <c r="N343" s="166">
        <f>+M343/E343*100</f>
        <v>88.057600000000008</v>
      </c>
    </row>
    <row r="344" spans="1:14" ht="15.75" customHeight="1" x14ac:dyDescent="0.25">
      <c r="A344" s="131">
        <v>321</v>
      </c>
      <c r="B344" s="132" t="s">
        <v>47</v>
      </c>
      <c r="C344" s="133"/>
      <c r="D344" s="133"/>
      <c r="E344" s="133"/>
      <c r="F344" s="133">
        <f>3000+6000+22800</f>
        <v>31800</v>
      </c>
      <c r="G344" s="133">
        <v>1000</v>
      </c>
      <c r="H344" s="133"/>
      <c r="I344" s="133"/>
      <c r="J344" s="133"/>
      <c r="K344" s="133"/>
      <c r="L344" s="135"/>
      <c r="M344" s="133"/>
      <c r="N344" s="167"/>
    </row>
    <row r="345" spans="1:14" s="38" customFormat="1" ht="15.75" customHeight="1" x14ac:dyDescent="0.25">
      <c r="A345" s="128">
        <v>322</v>
      </c>
      <c r="B345" s="129" t="s">
        <v>48</v>
      </c>
      <c r="C345" s="130">
        <v>5000</v>
      </c>
      <c r="D345" s="130">
        <v>5000</v>
      </c>
      <c r="E345" s="130">
        <v>5000</v>
      </c>
      <c r="F345" s="130">
        <v>16000</v>
      </c>
      <c r="G345" s="130">
        <f>1500+10000</f>
        <v>11500</v>
      </c>
      <c r="H345" s="130"/>
      <c r="I345" s="130"/>
      <c r="J345" s="130">
        <v>10000</v>
      </c>
      <c r="K345" s="130"/>
      <c r="L345" s="134"/>
      <c r="M345" s="130">
        <f>+M346+M347+M348</f>
        <v>4402.88</v>
      </c>
      <c r="N345" s="166">
        <f>+M345/E345*100</f>
        <v>88.057600000000008</v>
      </c>
    </row>
    <row r="346" spans="1:14" ht="15.75" customHeight="1" x14ac:dyDescent="0.25">
      <c r="A346" s="131">
        <v>3221</v>
      </c>
      <c r="B346" s="132" t="s">
        <v>73</v>
      </c>
      <c r="C346" s="133"/>
      <c r="D346" s="133"/>
      <c r="E346" s="133"/>
      <c r="F346" s="133"/>
      <c r="G346" s="133"/>
      <c r="H346" s="133"/>
      <c r="I346" s="133"/>
      <c r="J346" s="133"/>
      <c r="K346" s="133"/>
      <c r="L346" s="135"/>
      <c r="M346" s="133">
        <v>2488.66</v>
      </c>
      <c r="N346" s="167"/>
    </row>
    <row r="347" spans="1:14" ht="15.75" customHeight="1" x14ac:dyDescent="0.25">
      <c r="A347" s="131">
        <v>3224</v>
      </c>
      <c r="B347" s="132" t="s">
        <v>83</v>
      </c>
      <c r="C347" s="133"/>
      <c r="D347" s="133"/>
      <c r="E347" s="133"/>
      <c r="F347" s="133"/>
      <c r="G347" s="133"/>
      <c r="H347" s="133"/>
      <c r="I347" s="133"/>
      <c r="J347" s="133"/>
      <c r="K347" s="133"/>
      <c r="L347" s="135"/>
      <c r="M347" s="133">
        <v>1914.22</v>
      </c>
      <c r="N347" s="167"/>
    </row>
    <row r="348" spans="1:14" ht="15.75" customHeight="1" x14ac:dyDescent="0.25">
      <c r="A348" s="131">
        <v>3225</v>
      </c>
      <c r="B348" s="132" t="s">
        <v>84</v>
      </c>
      <c r="C348" s="133"/>
      <c r="D348" s="133"/>
      <c r="E348" s="133"/>
      <c r="F348" s="133"/>
      <c r="G348" s="133"/>
      <c r="H348" s="133"/>
      <c r="I348" s="133"/>
      <c r="J348" s="133"/>
      <c r="K348" s="133"/>
      <c r="L348" s="135"/>
      <c r="M348" s="133">
        <v>0</v>
      </c>
      <c r="N348" s="167"/>
    </row>
    <row r="349" spans="1:14" s="38" customFormat="1" ht="15.75" customHeight="1" x14ac:dyDescent="0.25">
      <c r="A349" s="128">
        <v>323</v>
      </c>
      <c r="B349" s="129" t="s">
        <v>49</v>
      </c>
      <c r="C349" s="130"/>
      <c r="D349" s="130"/>
      <c r="E349" s="130"/>
      <c r="F349" s="130">
        <f>90000+38000+5760</f>
        <v>133760</v>
      </c>
      <c r="G349" s="130">
        <v>2000</v>
      </c>
      <c r="H349" s="130"/>
      <c r="I349" s="130"/>
      <c r="J349" s="130">
        <v>4000</v>
      </c>
      <c r="K349" s="130"/>
      <c r="L349" s="134"/>
      <c r="M349" s="130"/>
      <c r="N349" s="166" t="e">
        <f>+M349/E349*100</f>
        <v>#DIV/0!</v>
      </c>
    </row>
    <row r="350" spans="1:14" s="38" customFormat="1" ht="15.75" customHeight="1" x14ac:dyDescent="0.25">
      <c r="A350" s="128">
        <v>329</v>
      </c>
      <c r="B350" s="129" t="s">
        <v>50</v>
      </c>
      <c r="C350" s="130"/>
      <c r="D350" s="130">
        <v>0</v>
      </c>
      <c r="E350" s="130">
        <v>0</v>
      </c>
      <c r="F350" s="130">
        <v>50000</v>
      </c>
      <c r="G350" s="130">
        <f>1000+100+2100</f>
        <v>3200</v>
      </c>
      <c r="H350" s="130">
        <v>6000</v>
      </c>
      <c r="I350" s="130"/>
      <c r="J350" s="130"/>
      <c r="K350" s="130"/>
      <c r="L350" s="134"/>
      <c r="M350" s="130"/>
      <c r="N350" s="166" t="e">
        <f>+M350/E350*100</f>
        <v>#DIV/0!</v>
      </c>
    </row>
    <row r="351" spans="1:14" ht="15.75" customHeight="1" x14ac:dyDescent="0.25">
      <c r="A351" s="128">
        <v>4</v>
      </c>
      <c r="B351" s="129" t="s">
        <v>138</v>
      </c>
      <c r="C351" s="130">
        <f>+C352</f>
        <v>15000</v>
      </c>
      <c r="D351" s="130">
        <f t="shared" ref="D351:M351" si="211">+D352</f>
        <v>15000</v>
      </c>
      <c r="E351" s="130">
        <f t="shared" si="211"/>
        <v>15000</v>
      </c>
      <c r="F351" s="130">
        <f t="shared" si="211"/>
        <v>700000</v>
      </c>
      <c r="G351" s="130">
        <f t="shared" si="211"/>
        <v>7100</v>
      </c>
      <c r="H351" s="130">
        <f t="shared" si="211"/>
        <v>0</v>
      </c>
      <c r="I351" s="130">
        <f t="shared" si="211"/>
        <v>0</v>
      </c>
      <c r="J351" s="130">
        <f t="shared" si="211"/>
        <v>6000</v>
      </c>
      <c r="K351" s="130">
        <f t="shared" si="211"/>
        <v>0</v>
      </c>
      <c r="L351" s="130">
        <f t="shared" si="211"/>
        <v>0</v>
      </c>
      <c r="M351" s="130">
        <f t="shared" si="211"/>
        <v>11289.14</v>
      </c>
      <c r="N351" s="166">
        <f>+M351/E351*100</f>
        <v>75.260933333333327</v>
      </c>
    </row>
    <row r="352" spans="1:14" ht="15.75" customHeight="1" x14ac:dyDescent="0.25">
      <c r="A352" s="128">
        <v>42</v>
      </c>
      <c r="B352" s="129" t="s">
        <v>140</v>
      </c>
      <c r="C352" s="130">
        <f>+C353</f>
        <v>15000</v>
      </c>
      <c r="D352" s="130">
        <f>+D353</f>
        <v>15000</v>
      </c>
      <c r="E352" s="130">
        <f>+E353</f>
        <v>15000</v>
      </c>
      <c r="F352" s="130">
        <f>+F353+F358+F356</f>
        <v>700000</v>
      </c>
      <c r="G352" s="130">
        <f t="shared" ref="G352:L352" si="212">+G353+G358</f>
        <v>7100</v>
      </c>
      <c r="H352" s="130">
        <f t="shared" si="212"/>
        <v>0</v>
      </c>
      <c r="I352" s="130">
        <f t="shared" si="212"/>
        <v>0</v>
      </c>
      <c r="J352" s="130">
        <f t="shared" si="212"/>
        <v>6000</v>
      </c>
      <c r="K352" s="130">
        <f t="shared" si="212"/>
        <v>0</v>
      </c>
      <c r="L352" s="134">
        <f t="shared" si="212"/>
        <v>0</v>
      </c>
      <c r="M352" s="130">
        <f>+M353+M356</f>
        <v>11289.14</v>
      </c>
      <c r="N352" s="166">
        <f>+M352/E352*100</f>
        <v>75.260933333333327</v>
      </c>
    </row>
    <row r="353" spans="1:14" s="38" customFormat="1" ht="15.75" customHeight="1" x14ac:dyDescent="0.25">
      <c r="A353" s="128">
        <v>422</v>
      </c>
      <c r="B353" s="129" t="s">
        <v>59</v>
      </c>
      <c r="C353" s="130">
        <v>15000</v>
      </c>
      <c r="D353" s="130">
        <v>15000</v>
      </c>
      <c r="E353" s="130">
        <v>15000</v>
      </c>
      <c r="F353" s="130">
        <v>45000</v>
      </c>
      <c r="G353" s="130">
        <v>7100</v>
      </c>
      <c r="H353" s="130"/>
      <c r="I353" s="130"/>
      <c r="J353" s="130">
        <v>6000</v>
      </c>
      <c r="K353" s="130"/>
      <c r="L353" s="134"/>
      <c r="M353" s="130">
        <f>+M354+M355</f>
        <v>11289.14</v>
      </c>
      <c r="N353" s="166">
        <f>+M353/E353*100</f>
        <v>75.260933333333327</v>
      </c>
    </row>
    <row r="354" spans="1:14" ht="15.75" customHeight="1" x14ac:dyDescent="0.25">
      <c r="A354" s="131">
        <v>4221</v>
      </c>
      <c r="B354" s="132" t="s">
        <v>79</v>
      </c>
      <c r="C354" s="133"/>
      <c r="D354" s="133"/>
      <c r="E354" s="133"/>
      <c r="F354" s="133"/>
      <c r="G354" s="133"/>
      <c r="H354" s="133"/>
      <c r="I354" s="133"/>
      <c r="J354" s="133"/>
      <c r="K354" s="133"/>
      <c r="L354" s="135"/>
      <c r="M354" s="133">
        <v>9120.24</v>
      </c>
      <c r="N354" s="167"/>
    </row>
    <row r="355" spans="1:14" ht="15.75" customHeight="1" x14ac:dyDescent="0.25">
      <c r="A355" s="131">
        <v>4227</v>
      </c>
      <c r="B355" s="132" t="s">
        <v>94</v>
      </c>
      <c r="C355" s="133"/>
      <c r="D355" s="133"/>
      <c r="E355" s="133"/>
      <c r="F355" s="133"/>
      <c r="G355" s="133"/>
      <c r="H355" s="133"/>
      <c r="I355" s="133"/>
      <c r="J355" s="133"/>
      <c r="K355" s="133"/>
      <c r="L355" s="135"/>
      <c r="M355" s="133">
        <v>2168.9</v>
      </c>
      <c r="N355" s="167"/>
    </row>
    <row r="356" spans="1:14" s="38" customFormat="1" ht="15.75" customHeight="1" x14ac:dyDescent="0.25">
      <c r="A356" s="128">
        <v>426</v>
      </c>
      <c r="B356" s="129" t="s">
        <v>119</v>
      </c>
      <c r="C356" s="130">
        <f>SUM(E356:K356)</f>
        <v>0</v>
      </c>
      <c r="D356" s="130">
        <f>SUM(E356:K356)</f>
        <v>0</v>
      </c>
      <c r="E356" s="130">
        <f>SUM(F356:L356)</f>
        <v>0</v>
      </c>
      <c r="F356" s="130"/>
      <c r="G356" s="130"/>
      <c r="H356" s="130"/>
      <c r="I356" s="130"/>
      <c r="J356" s="130"/>
      <c r="K356" s="130"/>
      <c r="L356" s="134"/>
      <c r="M356" s="130">
        <f>+M357</f>
        <v>0</v>
      </c>
      <c r="N356" s="166" t="e">
        <f>+M356/E356*100</f>
        <v>#DIV/0!</v>
      </c>
    </row>
    <row r="357" spans="1:14" s="39" customFormat="1" ht="15.75" customHeight="1" x14ac:dyDescent="0.25">
      <c r="A357" s="131">
        <v>4262</v>
      </c>
      <c r="B357" s="132" t="s">
        <v>120</v>
      </c>
      <c r="C357" s="133"/>
      <c r="D357" s="133"/>
      <c r="E357" s="133"/>
      <c r="F357" s="133"/>
      <c r="G357" s="133"/>
      <c r="H357" s="133"/>
      <c r="I357" s="133"/>
      <c r="J357" s="133"/>
      <c r="K357" s="133"/>
      <c r="L357" s="135"/>
      <c r="M357" s="133">
        <v>0</v>
      </c>
      <c r="N357" s="167"/>
    </row>
    <row r="358" spans="1:14" ht="15.75" customHeight="1" x14ac:dyDescent="0.25">
      <c r="A358" s="131">
        <v>454</v>
      </c>
      <c r="B358" s="132" t="s">
        <v>162</v>
      </c>
      <c r="C358" s="133">
        <v>0</v>
      </c>
      <c r="D358" s="133">
        <v>0</v>
      </c>
      <c r="E358" s="133">
        <v>0</v>
      </c>
      <c r="F358" s="133">
        <v>655000</v>
      </c>
      <c r="G358" s="133"/>
      <c r="H358" s="133"/>
      <c r="I358" s="133"/>
      <c r="J358" s="133"/>
      <c r="K358" s="133"/>
      <c r="L358" s="135"/>
      <c r="M358" s="133"/>
      <c r="N358" s="167" t="e">
        <f>+M358/E358*100</f>
        <v>#DIV/0!</v>
      </c>
    </row>
    <row r="359" spans="1:14" ht="15.75" customHeight="1" x14ac:dyDescent="0.25">
      <c r="A359" s="160" t="s">
        <v>170</v>
      </c>
      <c r="B359" s="158"/>
      <c r="C359" s="159">
        <f t="shared" ref="C359:L359" si="213">+C360</f>
        <v>144000</v>
      </c>
      <c r="D359" s="159">
        <f t="shared" si="213"/>
        <v>210000</v>
      </c>
      <c r="E359" s="159">
        <f t="shared" si="213"/>
        <v>210000</v>
      </c>
      <c r="F359" s="159">
        <f t="shared" si="213"/>
        <v>121000</v>
      </c>
      <c r="G359" s="159">
        <f t="shared" si="213"/>
        <v>0</v>
      </c>
      <c r="H359" s="159">
        <f t="shared" si="213"/>
        <v>0</v>
      </c>
      <c r="I359" s="159">
        <f t="shared" si="213"/>
        <v>0</v>
      </c>
      <c r="J359" s="159">
        <f t="shared" si="213"/>
        <v>0</v>
      </c>
      <c r="K359" s="159">
        <f t="shared" si="213"/>
        <v>0</v>
      </c>
      <c r="L359" s="159">
        <f t="shared" si="213"/>
        <v>0</v>
      </c>
      <c r="M359" s="159">
        <f>+M360</f>
        <v>203490.97</v>
      </c>
      <c r="N359" s="165">
        <f>+M359/E359*100</f>
        <v>96.900461904761897</v>
      </c>
    </row>
    <row r="360" spans="1:14" ht="15.75" customHeight="1" x14ac:dyDescent="0.25">
      <c r="A360" s="147" t="s">
        <v>146</v>
      </c>
      <c r="B360" s="148" t="s">
        <v>163</v>
      </c>
      <c r="C360" s="149">
        <f t="shared" ref="C360:L361" si="214">+C361</f>
        <v>144000</v>
      </c>
      <c r="D360" s="149">
        <f t="shared" si="214"/>
        <v>210000</v>
      </c>
      <c r="E360" s="149">
        <f t="shared" si="214"/>
        <v>210000</v>
      </c>
      <c r="F360" s="149">
        <f t="shared" si="214"/>
        <v>121000</v>
      </c>
      <c r="G360" s="149">
        <f t="shared" si="214"/>
        <v>0</v>
      </c>
      <c r="H360" s="149">
        <f t="shared" si="214"/>
        <v>0</v>
      </c>
      <c r="I360" s="149">
        <f t="shared" si="214"/>
        <v>0</v>
      </c>
      <c r="J360" s="149">
        <f t="shared" si="214"/>
        <v>0</v>
      </c>
      <c r="K360" s="149">
        <f t="shared" si="214"/>
        <v>0</v>
      </c>
      <c r="L360" s="149">
        <f t="shared" si="214"/>
        <v>0</v>
      </c>
      <c r="M360" s="149">
        <f>+M361</f>
        <v>203490.97</v>
      </c>
      <c r="N360" s="164">
        <f>+M360/E360*100</f>
        <v>96.900461904761897</v>
      </c>
    </row>
    <row r="361" spans="1:14" ht="15.75" customHeight="1" x14ac:dyDescent="0.25">
      <c r="A361" s="128">
        <v>3</v>
      </c>
      <c r="B361" s="129" t="s">
        <v>41</v>
      </c>
      <c r="C361" s="130">
        <f t="shared" si="214"/>
        <v>144000</v>
      </c>
      <c r="D361" s="130">
        <f t="shared" si="214"/>
        <v>210000</v>
      </c>
      <c r="E361" s="130">
        <f t="shared" si="214"/>
        <v>210000</v>
      </c>
      <c r="F361" s="130">
        <f t="shared" si="214"/>
        <v>121000</v>
      </c>
      <c r="G361" s="130">
        <f t="shared" si="214"/>
        <v>0</v>
      </c>
      <c r="H361" s="130">
        <f t="shared" si="214"/>
        <v>0</v>
      </c>
      <c r="I361" s="130">
        <f t="shared" si="214"/>
        <v>0</v>
      </c>
      <c r="J361" s="130">
        <f t="shared" si="214"/>
        <v>0</v>
      </c>
      <c r="K361" s="130">
        <f t="shared" si="214"/>
        <v>0</v>
      </c>
      <c r="L361" s="130">
        <f t="shared" si="214"/>
        <v>0</v>
      </c>
      <c r="M361" s="130">
        <f>+M362</f>
        <v>203490.97</v>
      </c>
      <c r="N361" s="166">
        <f>+M361/E361*100</f>
        <v>96.900461904761897</v>
      </c>
    </row>
    <row r="362" spans="1:14" ht="15.75" customHeight="1" x14ac:dyDescent="0.25">
      <c r="A362" s="128">
        <v>31</v>
      </c>
      <c r="B362" s="129" t="s">
        <v>42</v>
      </c>
      <c r="C362" s="130">
        <f>SUM(C363:C366)</f>
        <v>144000</v>
      </c>
      <c r="D362" s="130">
        <f>SUM(D363:D366)</f>
        <v>210000</v>
      </c>
      <c r="E362" s="130">
        <f>SUM(E363:E366)</f>
        <v>210000</v>
      </c>
      <c r="F362" s="130">
        <f t="shared" ref="F362:L362" si="215">SUM(F363:F366)</f>
        <v>121000</v>
      </c>
      <c r="G362" s="130">
        <f t="shared" si="215"/>
        <v>0</v>
      </c>
      <c r="H362" s="130">
        <f t="shared" si="215"/>
        <v>0</v>
      </c>
      <c r="I362" s="130">
        <f t="shared" si="215"/>
        <v>0</v>
      </c>
      <c r="J362" s="130">
        <f t="shared" si="215"/>
        <v>0</v>
      </c>
      <c r="K362" s="130">
        <f t="shared" si="215"/>
        <v>0</v>
      </c>
      <c r="L362" s="134">
        <f t="shared" si="215"/>
        <v>0</v>
      </c>
      <c r="M362" s="130">
        <f>+M363+M364</f>
        <v>203490.97</v>
      </c>
      <c r="N362" s="166">
        <f>+M362/E362*100</f>
        <v>96.900461904761897</v>
      </c>
    </row>
    <row r="363" spans="1:14" ht="15.75" customHeight="1" x14ac:dyDescent="0.25">
      <c r="A363" s="131">
        <v>311</v>
      </c>
      <c r="B363" s="132" t="s">
        <v>135</v>
      </c>
      <c r="C363" s="133">
        <f>SUM(E363:K363)</f>
        <v>0</v>
      </c>
      <c r="D363" s="133">
        <f t="shared" ref="D363:E366" si="216">SUM(E363:K363)</f>
        <v>0</v>
      </c>
      <c r="E363" s="133">
        <f t="shared" si="216"/>
        <v>0</v>
      </c>
      <c r="F363" s="133"/>
      <c r="G363" s="133"/>
      <c r="H363" s="133"/>
      <c r="I363" s="133"/>
      <c r="J363" s="133"/>
      <c r="K363" s="133"/>
      <c r="L363" s="135"/>
      <c r="M363" s="133"/>
      <c r="N363" s="167"/>
    </row>
    <row r="364" spans="1:14" ht="15.75" customHeight="1" x14ac:dyDescent="0.25">
      <c r="A364" s="131">
        <v>312</v>
      </c>
      <c r="B364" s="132" t="s">
        <v>44</v>
      </c>
      <c r="C364" s="133">
        <v>144000</v>
      </c>
      <c r="D364" s="133">
        <v>210000</v>
      </c>
      <c r="E364" s="133">
        <v>210000</v>
      </c>
      <c r="F364" s="133">
        <v>121000</v>
      </c>
      <c r="G364" s="133"/>
      <c r="H364" s="133"/>
      <c r="I364" s="133"/>
      <c r="J364" s="133"/>
      <c r="K364" s="133"/>
      <c r="L364" s="135"/>
      <c r="M364" s="133">
        <f>+M365</f>
        <v>203490.97</v>
      </c>
      <c r="N364" s="167">
        <f>+M364/E364*100</f>
        <v>96.900461904761897</v>
      </c>
    </row>
    <row r="365" spans="1:14" ht="15.75" customHeight="1" x14ac:dyDescent="0.25">
      <c r="A365" s="131">
        <v>3121</v>
      </c>
      <c r="B365" s="132" t="s">
        <v>44</v>
      </c>
      <c r="C365" s="133"/>
      <c r="D365" s="133"/>
      <c r="E365" s="133"/>
      <c r="F365" s="133"/>
      <c r="G365" s="133"/>
      <c r="H365" s="133"/>
      <c r="I365" s="133"/>
      <c r="J365" s="133"/>
      <c r="K365" s="133"/>
      <c r="L365" s="135"/>
      <c r="M365" s="133">
        <v>203490.97</v>
      </c>
      <c r="N365" s="167"/>
    </row>
    <row r="366" spans="1:14" ht="15.75" customHeight="1" x14ac:dyDescent="0.25">
      <c r="A366" s="131">
        <v>313</v>
      </c>
      <c r="B366" s="132" t="s">
        <v>45</v>
      </c>
      <c r="C366" s="133">
        <f>SUM(E366:K366)</f>
        <v>0</v>
      </c>
      <c r="D366" s="133">
        <f t="shared" si="216"/>
        <v>0</v>
      </c>
      <c r="E366" s="133">
        <f t="shared" si="216"/>
        <v>0</v>
      </c>
      <c r="F366" s="133"/>
      <c r="G366" s="133"/>
      <c r="H366" s="133"/>
      <c r="I366" s="133"/>
      <c r="J366" s="133"/>
      <c r="K366" s="133"/>
      <c r="L366" s="135"/>
      <c r="M366" s="133"/>
      <c r="N366" s="167"/>
    </row>
    <row r="367" spans="1:14" ht="15.75" customHeight="1" x14ac:dyDescent="0.25">
      <c r="A367" s="160" t="s">
        <v>170</v>
      </c>
      <c r="B367" s="158"/>
      <c r="C367" s="159">
        <f t="shared" ref="C367:M370" si="217">+C368</f>
        <v>30000</v>
      </c>
      <c r="D367" s="159">
        <f t="shared" si="217"/>
        <v>30000</v>
      </c>
      <c r="E367" s="159">
        <f t="shared" si="217"/>
        <v>30000</v>
      </c>
      <c r="F367" s="159">
        <f t="shared" si="217"/>
        <v>9000</v>
      </c>
      <c r="G367" s="159">
        <f t="shared" si="217"/>
        <v>0</v>
      </c>
      <c r="H367" s="159">
        <f t="shared" si="217"/>
        <v>0</v>
      </c>
      <c r="I367" s="159">
        <f t="shared" si="217"/>
        <v>0</v>
      </c>
      <c r="J367" s="159">
        <f t="shared" si="217"/>
        <v>0</v>
      </c>
      <c r="K367" s="159">
        <f t="shared" si="217"/>
        <v>0</v>
      </c>
      <c r="L367" s="159">
        <f t="shared" si="217"/>
        <v>0</v>
      </c>
      <c r="M367" s="159">
        <f>+M368</f>
        <v>27663.89</v>
      </c>
      <c r="N367" s="165">
        <f t="shared" ref="N367:N382" si="218">+M367/E367*100</f>
        <v>92.212966666666659</v>
      </c>
    </row>
    <row r="368" spans="1:14" ht="15.75" customHeight="1" x14ac:dyDescent="0.25">
      <c r="A368" s="147" t="s">
        <v>193</v>
      </c>
      <c r="B368" s="148" t="s">
        <v>194</v>
      </c>
      <c r="C368" s="149">
        <f t="shared" ref="C368:E370" si="219">+C369</f>
        <v>30000</v>
      </c>
      <c r="D368" s="149">
        <f t="shared" si="219"/>
        <v>30000</v>
      </c>
      <c r="E368" s="149">
        <f t="shared" si="219"/>
        <v>30000</v>
      </c>
      <c r="F368" s="149">
        <f t="shared" si="217"/>
        <v>9000</v>
      </c>
      <c r="G368" s="149">
        <f t="shared" si="217"/>
        <v>0</v>
      </c>
      <c r="H368" s="149">
        <f t="shared" si="217"/>
        <v>0</v>
      </c>
      <c r="I368" s="149">
        <f t="shared" si="217"/>
        <v>0</v>
      </c>
      <c r="J368" s="149">
        <f t="shared" si="217"/>
        <v>0</v>
      </c>
      <c r="K368" s="149">
        <f t="shared" si="217"/>
        <v>0</v>
      </c>
      <c r="L368" s="149">
        <f t="shared" si="217"/>
        <v>0</v>
      </c>
      <c r="M368" s="149">
        <f t="shared" si="217"/>
        <v>27663.89</v>
      </c>
      <c r="N368" s="164">
        <f t="shared" si="218"/>
        <v>92.212966666666659</v>
      </c>
    </row>
    <row r="369" spans="1:14" ht="15.75" customHeight="1" x14ac:dyDescent="0.25">
      <c r="A369" s="128">
        <v>3</v>
      </c>
      <c r="B369" s="129" t="s">
        <v>41</v>
      </c>
      <c r="C369" s="130">
        <f t="shared" si="219"/>
        <v>30000</v>
      </c>
      <c r="D369" s="130">
        <f t="shared" si="219"/>
        <v>30000</v>
      </c>
      <c r="E369" s="130">
        <f t="shared" si="219"/>
        <v>30000</v>
      </c>
      <c r="F369" s="130">
        <f t="shared" si="217"/>
        <v>9000</v>
      </c>
      <c r="G369" s="130">
        <f t="shared" si="217"/>
        <v>0</v>
      </c>
      <c r="H369" s="130">
        <f t="shared" si="217"/>
        <v>0</v>
      </c>
      <c r="I369" s="130">
        <f t="shared" si="217"/>
        <v>0</v>
      </c>
      <c r="J369" s="130">
        <f t="shared" si="217"/>
        <v>0</v>
      </c>
      <c r="K369" s="130">
        <f t="shared" si="217"/>
        <v>0</v>
      </c>
      <c r="L369" s="130">
        <f t="shared" si="217"/>
        <v>0</v>
      </c>
      <c r="M369" s="130">
        <f t="shared" si="217"/>
        <v>27663.89</v>
      </c>
      <c r="N369" s="166">
        <f t="shared" si="218"/>
        <v>92.212966666666659</v>
      </c>
    </row>
    <row r="370" spans="1:14" ht="15.75" customHeight="1" x14ac:dyDescent="0.25">
      <c r="A370" s="128">
        <v>37</v>
      </c>
      <c r="B370" s="129" t="s">
        <v>137</v>
      </c>
      <c r="C370" s="130">
        <f t="shared" si="219"/>
        <v>30000</v>
      </c>
      <c r="D370" s="130">
        <f t="shared" si="219"/>
        <v>30000</v>
      </c>
      <c r="E370" s="130">
        <f t="shared" si="219"/>
        <v>30000</v>
      </c>
      <c r="F370" s="130">
        <f t="shared" si="217"/>
        <v>9000</v>
      </c>
      <c r="G370" s="130">
        <f t="shared" si="217"/>
        <v>0</v>
      </c>
      <c r="H370" s="130">
        <f t="shared" si="217"/>
        <v>0</v>
      </c>
      <c r="I370" s="130">
        <f t="shared" si="217"/>
        <v>0</v>
      </c>
      <c r="J370" s="130">
        <f t="shared" si="217"/>
        <v>0</v>
      </c>
      <c r="K370" s="130">
        <f t="shared" si="217"/>
        <v>0</v>
      </c>
      <c r="L370" s="134">
        <f t="shared" si="217"/>
        <v>0</v>
      </c>
      <c r="M370" s="130">
        <f t="shared" si="217"/>
        <v>27663.89</v>
      </c>
      <c r="N370" s="166">
        <f t="shared" si="218"/>
        <v>92.212966666666659</v>
      </c>
    </row>
    <row r="371" spans="1:14" ht="15.75" customHeight="1" x14ac:dyDescent="0.25">
      <c r="A371" s="131">
        <v>372</v>
      </c>
      <c r="B371" s="132" t="s">
        <v>54</v>
      </c>
      <c r="C371" s="133">
        <v>30000</v>
      </c>
      <c r="D371" s="133">
        <v>30000</v>
      </c>
      <c r="E371" s="133">
        <v>30000</v>
      </c>
      <c r="F371" s="133">
        <v>9000</v>
      </c>
      <c r="G371" s="133"/>
      <c r="H371" s="133"/>
      <c r="I371" s="133"/>
      <c r="J371" s="133"/>
      <c r="K371" s="133"/>
      <c r="L371" s="135"/>
      <c r="M371" s="133">
        <v>27663.89</v>
      </c>
      <c r="N371" s="167">
        <f t="shared" si="218"/>
        <v>92.212966666666659</v>
      </c>
    </row>
    <row r="372" spans="1:14" ht="15.75" customHeight="1" x14ac:dyDescent="0.25">
      <c r="A372" s="160" t="s">
        <v>170</v>
      </c>
      <c r="B372" s="158"/>
      <c r="C372" s="159">
        <f t="shared" ref="C372:L372" si="220">+C373</f>
        <v>10000</v>
      </c>
      <c r="D372" s="159">
        <f t="shared" si="220"/>
        <v>10000</v>
      </c>
      <c r="E372" s="159">
        <f t="shared" si="220"/>
        <v>12000</v>
      </c>
      <c r="F372" s="159">
        <f t="shared" si="220"/>
        <v>9000</v>
      </c>
      <c r="G372" s="159">
        <f t="shared" si="220"/>
        <v>0</v>
      </c>
      <c r="H372" s="159">
        <f t="shared" si="220"/>
        <v>0</v>
      </c>
      <c r="I372" s="159">
        <f t="shared" si="220"/>
        <v>0</v>
      </c>
      <c r="J372" s="159">
        <f t="shared" si="220"/>
        <v>0</v>
      </c>
      <c r="K372" s="159">
        <f t="shared" si="220"/>
        <v>0</v>
      </c>
      <c r="L372" s="159">
        <f t="shared" si="220"/>
        <v>0</v>
      </c>
      <c r="M372" s="159">
        <f>+M373</f>
        <v>12292.51</v>
      </c>
      <c r="N372" s="165">
        <f t="shared" si="218"/>
        <v>102.43758333333332</v>
      </c>
    </row>
    <row r="373" spans="1:14" ht="15.75" customHeight="1" x14ac:dyDescent="0.25">
      <c r="A373" s="147" t="s">
        <v>148</v>
      </c>
      <c r="B373" s="148" t="s">
        <v>149</v>
      </c>
      <c r="C373" s="149">
        <f t="shared" ref="C373:E375" si="221">+C374</f>
        <v>10000</v>
      </c>
      <c r="D373" s="149">
        <f t="shared" si="221"/>
        <v>10000</v>
      </c>
      <c r="E373" s="149">
        <f t="shared" si="221"/>
        <v>12000</v>
      </c>
      <c r="F373" s="149">
        <f t="shared" ref="F373:M373" si="222">+F374</f>
        <v>9000</v>
      </c>
      <c r="G373" s="149">
        <f t="shared" si="222"/>
        <v>0</v>
      </c>
      <c r="H373" s="149">
        <f t="shared" si="222"/>
        <v>0</v>
      </c>
      <c r="I373" s="149">
        <f t="shared" si="222"/>
        <v>0</v>
      </c>
      <c r="J373" s="149">
        <f t="shared" si="222"/>
        <v>0</v>
      </c>
      <c r="K373" s="149">
        <f t="shared" si="222"/>
        <v>0</v>
      </c>
      <c r="L373" s="149">
        <f t="shared" si="222"/>
        <v>0</v>
      </c>
      <c r="M373" s="149">
        <f t="shared" si="222"/>
        <v>12292.51</v>
      </c>
      <c r="N373" s="164">
        <f t="shared" si="218"/>
        <v>102.43758333333332</v>
      </c>
    </row>
    <row r="374" spans="1:14" ht="15.75" customHeight="1" x14ac:dyDescent="0.25">
      <c r="A374" s="128">
        <v>3</v>
      </c>
      <c r="B374" s="129" t="s">
        <v>41</v>
      </c>
      <c r="C374" s="130">
        <f t="shared" si="221"/>
        <v>10000</v>
      </c>
      <c r="D374" s="130">
        <f t="shared" si="221"/>
        <v>10000</v>
      </c>
      <c r="E374" s="130">
        <f t="shared" si="221"/>
        <v>12000</v>
      </c>
      <c r="F374" s="130">
        <f t="shared" ref="F374:M374" si="223">+F375</f>
        <v>9000</v>
      </c>
      <c r="G374" s="130">
        <f t="shared" si="223"/>
        <v>0</v>
      </c>
      <c r="H374" s="130">
        <f t="shared" si="223"/>
        <v>0</v>
      </c>
      <c r="I374" s="130">
        <f t="shared" si="223"/>
        <v>0</v>
      </c>
      <c r="J374" s="130">
        <f t="shared" si="223"/>
        <v>0</v>
      </c>
      <c r="K374" s="130">
        <f t="shared" si="223"/>
        <v>0</v>
      </c>
      <c r="L374" s="130">
        <f t="shared" si="223"/>
        <v>0</v>
      </c>
      <c r="M374" s="130">
        <f t="shared" si="223"/>
        <v>12292.51</v>
      </c>
      <c r="N374" s="166">
        <f t="shared" si="218"/>
        <v>102.43758333333332</v>
      </c>
    </row>
    <row r="375" spans="1:14" ht="31.5" customHeight="1" x14ac:dyDescent="0.25">
      <c r="A375" s="128">
        <v>37</v>
      </c>
      <c r="B375" s="129" t="s">
        <v>137</v>
      </c>
      <c r="C375" s="130">
        <f t="shared" si="221"/>
        <v>10000</v>
      </c>
      <c r="D375" s="130">
        <f t="shared" si="221"/>
        <v>10000</v>
      </c>
      <c r="E375" s="130">
        <f t="shared" si="221"/>
        <v>12000</v>
      </c>
      <c r="F375" s="130">
        <f t="shared" ref="F375:M375" si="224">+F376</f>
        <v>9000</v>
      </c>
      <c r="G375" s="130">
        <f t="shared" si="224"/>
        <v>0</v>
      </c>
      <c r="H375" s="130">
        <f t="shared" si="224"/>
        <v>0</v>
      </c>
      <c r="I375" s="130">
        <f t="shared" si="224"/>
        <v>0</v>
      </c>
      <c r="J375" s="130">
        <f t="shared" si="224"/>
        <v>0</v>
      </c>
      <c r="K375" s="130">
        <f t="shared" si="224"/>
        <v>0</v>
      </c>
      <c r="L375" s="134">
        <f t="shared" si="224"/>
        <v>0</v>
      </c>
      <c r="M375" s="130">
        <f t="shared" si="224"/>
        <v>12292.51</v>
      </c>
      <c r="N375" s="166">
        <f t="shared" si="218"/>
        <v>102.43758333333332</v>
      </c>
    </row>
    <row r="376" spans="1:14" ht="15.75" customHeight="1" x14ac:dyDescent="0.25">
      <c r="A376" s="131">
        <v>372</v>
      </c>
      <c r="B376" s="132" t="s">
        <v>54</v>
      </c>
      <c r="C376" s="133">
        <v>10000</v>
      </c>
      <c r="D376" s="133">
        <v>10000</v>
      </c>
      <c r="E376" s="133">
        <v>12000</v>
      </c>
      <c r="F376" s="133">
        <v>9000</v>
      </c>
      <c r="G376" s="133"/>
      <c r="H376" s="133"/>
      <c r="I376" s="133"/>
      <c r="J376" s="133"/>
      <c r="K376" s="133"/>
      <c r="L376" s="135"/>
      <c r="M376" s="133">
        <v>12292.51</v>
      </c>
      <c r="N376" s="167">
        <f t="shared" si="218"/>
        <v>102.43758333333332</v>
      </c>
    </row>
    <row r="377" spans="1:14" ht="15.75" customHeight="1" x14ac:dyDescent="0.25">
      <c r="A377" s="160" t="s">
        <v>170</v>
      </c>
      <c r="B377" s="158"/>
      <c r="C377" s="159">
        <f t="shared" ref="C377:L377" si="225">+C378</f>
        <v>60800</v>
      </c>
      <c r="D377" s="159">
        <f t="shared" si="225"/>
        <v>76000</v>
      </c>
      <c r="E377" s="159">
        <f t="shared" si="225"/>
        <v>76000</v>
      </c>
      <c r="F377" s="159">
        <f t="shared" si="225"/>
        <v>96000</v>
      </c>
      <c r="G377" s="159">
        <f t="shared" si="225"/>
        <v>0</v>
      </c>
      <c r="H377" s="159">
        <f t="shared" si="225"/>
        <v>0</v>
      </c>
      <c r="I377" s="159">
        <f t="shared" si="225"/>
        <v>0</v>
      </c>
      <c r="J377" s="159">
        <f t="shared" si="225"/>
        <v>0</v>
      </c>
      <c r="K377" s="159">
        <f t="shared" si="225"/>
        <v>0</v>
      </c>
      <c r="L377" s="159">
        <f t="shared" si="225"/>
        <v>0</v>
      </c>
      <c r="M377" s="159">
        <f>+M378</f>
        <v>60800</v>
      </c>
      <c r="N377" s="165">
        <f t="shared" si="218"/>
        <v>80</v>
      </c>
    </row>
    <row r="378" spans="1:14" ht="15.75" customHeight="1" x14ac:dyDescent="0.25">
      <c r="A378" s="145" t="s">
        <v>150</v>
      </c>
      <c r="B378" s="145" t="s">
        <v>151</v>
      </c>
      <c r="C378" s="146">
        <f t="shared" ref="C378:M378" si="226">+C379</f>
        <v>60800</v>
      </c>
      <c r="D378" s="146">
        <f t="shared" si="226"/>
        <v>76000</v>
      </c>
      <c r="E378" s="146">
        <f t="shared" si="226"/>
        <v>76000</v>
      </c>
      <c r="F378" s="146">
        <f t="shared" si="226"/>
        <v>96000</v>
      </c>
      <c r="G378" s="146">
        <f t="shared" si="226"/>
        <v>0</v>
      </c>
      <c r="H378" s="146">
        <f t="shared" si="226"/>
        <v>0</v>
      </c>
      <c r="I378" s="146">
        <f t="shared" si="226"/>
        <v>0</v>
      </c>
      <c r="J378" s="146">
        <f t="shared" si="226"/>
        <v>0</v>
      </c>
      <c r="K378" s="146">
        <f t="shared" si="226"/>
        <v>0</v>
      </c>
      <c r="L378" s="146">
        <f t="shared" si="226"/>
        <v>0</v>
      </c>
      <c r="M378" s="146">
        <f t="shared" si="226"/>
        <v>60800</v>
      </c>
      <c r="N378" s="163">
        <f t="shared" si="218"/>
        <v>80</v>
      </c>
    </row>
    <row r="379" spans="1:14" ht="15.75" customHeight="1" x14ac:dyDescent="0.25">
      <c r="A379" s="150" t="s">
        <v>152</v>
      </c>
      <c r="B379" s="148" t="s">
        <v>164</v>
      </c>
      <c r="C379" s="149">
        <f t="shared" ref="C379:L379" si="227">+C380+C393</f>
        <v>60800</v>
      </c>
      <c r="D379" s="149">
        <f t="shared" ref="D379" si="228">+D380+D393</f>
        <v>76000</v>
      </c>
      <c r="E379" s="149">
        <f t="shared" si="227"/>
        <v>76000</v>
      </c>
      <c r="F379" s="149">
        <f t="shared" si="227"/>
        <v>96000</v>
      </c>
      <c r="G379" s="149">
        <f t="shared" si="227"/>
        <v>0</v>
      </c>
      <c r="H379" s="149">
        <f t="shared" si="227"/>
        <v>0</v>
      </c>
      <c r="I379" s="149">
        <f t="shared" si="227"/>
        <v>0</v>
      </c>
      <c r="J379" s="149">
        <f t="shared" si="227"/>
        <v>0</v>
      </c>
      <c r="K379" s="149">
        <f t="shared" si="227"/>
        <v>0</v>
      </c>
      <c r="L379" s="149">
        <f t="shared" si="227"/>
        <v>0</v>
      </c>
      <c r="M379" s="149">
        <f>+M380+M393</f>
        <v>60800</v>
      </c>
      <c r="N379" s="164">
        <f t="shared" si="218"/>
        <v>80</v>
      </c>
    </row>
    <row r="380" spans="1:14" ht="15.75" customHeight="1" x14ac:dyDescent="0.25">
      <c r="A380" s="128">
        <v>3</v>
      </c>
      <c r="B380" s="129" t="s">
        <v>41</v>
      </c>
      <c r="C380" s="130">
        <f>+C381+C390</f>
        <v>42800</v>
      </c>
      <c r="D380" s="130">
        <f t="shared" ref="D380" si="229">+D381+D390</f>
        <v>56800</v>
      </c>
      <c r="E380" s="130">
        <f t="shared" ref="E380:L380" si="230">+E381+E390</f>
        <v>46000</v>
      </c>
      <c r="F380" s="130">
        <f t="shared" si="230"/>
        <v>71500</v>
      </c>
      <c r="G380" s="130">
        <f t="shared" si="230"/>
        <v>0</v>
      </c>
      <c r="H380" s="130">
        <f t="shared" si="230"/>
        <v>0</v>
      </c>
      <c r="I380" s="130">
        <f t="shared" si="230"/>
        <v>0</v>
      </c>
      <c r="J380" s="130">
        <f t="shared" si="230"/>
        <v>0</v>
      </c>
      <c r="K380" s="130">
        <f t="shared" si="230"/>
        <v>0</v>
      </c>
      <c r="L380" s="130">
        <f t="shared" si="230"/>
        <v>0</v>
      </c>
      <c r="M380" s="130">
        <f>+M381+M390</f>
        <v>35800</v>
      </c>
      <c r="N380" s="166">
        <f t="shared" si="218"/>
        <v>77.826086956521735</v>
      </c>
    </row>
    <row r="381" spans="1:14" ht="15.75" customHeight="1" x14ac:dyDescent="0.25">
      <c r="A381" s="128">
        <v>32</v>
      </c>
      <c r="B381" s="129" t="s">
        <v>46</v>
      </c>
      <c r="C381" s="130">
        <f>+C382+C387</f>
        <v>34300</v>
      </c>
      <c r="D381" s="130">
        <f>+D382+D387</f>
        <v>48300</v>
      </c>
      <c r="E381" s="130">
        <f>+E382+E387</f>
        <v>37000</v>
      </c>
      <c r="F381" s="130">
        <f t="shared" ref="F381:L381" si="231">SUM(F382:F389)</f>
        <v>62550</v>
      </c>
      <c r="G381" s="130">
        <f t="shared" si="231"/>
        <v>0</v>
      </c>
      <c r="H381" s="130">
        <f t="shared" si="231"/>
        <v>0</v>
      </c>
      <c r="I381" s="130">
        <f t="shared" si="231"/>
        <v>0</v>
      </c>
      <c r="J381" s="130">
        <f t="shared" si="231"/>
        <v>0</v>
      </c>
      <c r="K381" s="130">
        <f t="shared" si="231"/>
        <v>0</v>
      </c>
      <c r="L381" s="134">
        <f t="shared" si="231"/>
        <v>0</v>
      </c>
      <c r="M381" s="130">
        <f>+M382+M387</f>
        <v>29042.78</v>
      </c>
      <c r="N381" s="166">
        <f t="shared" si="218"/>
        <v>78.494</v>
      </c>
    </row>
    <row r="382" spans="1:14" s="38" customFormat="1" ht="15.75" customHeight="1" x14ac:dyDescent="0.25">
      <c r="A382" s="128">
        <v>321</v>
      </c>
      <c r="B382" s="129" t="s">
        <v>47</v>
      </c>
      <c r="C382" s="130">
        <v>32000</v>
      </c>
      <c r="D382" s="130">
        <v>46000</v>
      </c>
      <c r="E382" s="130">
        <v>32385</v>
      </c>
      <c r="F382" s="130">
        <v>44900</v>
      </c>
      <c r="G382" s="130"/>
      <c r="H382" s="130"/>
      <c r="I382" s="130"/>
      <c r="J382" s="130"/>
      <c r="K382" s="130"/>
      <c r="L382" s="134"/>
      <c r="M382" s="130">
        <f>SUM(M383:M386)</f>
        <v>28785</v>
      </c>
      <c r="N382" s="166">
        <f t="shared" si="218"/>
        <v>88.883742473367306</v>
      </c>
    </row>
    <row r="383" spans="1:14" ht="15.75" customHeight="1" x14ac:dyDescent="0.25">
      <c r="A383" s="131">
        <v>3211</v>
      </c>
      <c r="B383" s="132" t="s">
        <v>80</v>
      </c>
      <c r="C383" s="133"/>
      <c r="D383" s="133"/>
      <c r="E383" s="133"/>
      <c r="F383" s="133"/>
      <c r="G383" s="133"/>
      <c r="H383" s="133"/>
      <c r="I383" s="133"/>
      <c r="J383" s="133"/>
      <c r="K383" s="133"/>
      <c r="L383" s="135"/>
      <c r="M383" s="133">
        <v>13728</v>
      </c>
      <c r="N383" s="167"/>
    </row>
    <row r="384" spans="1:14" ht="15.75" customHeight="1" x14ac:dyDescent="0.25">
      <c r="A384" s="131">
        <v>3212</v>
      </c>
      <c r="B384" s="132" t="s">
        <v>71</v>
      </c>
      <c r="C384" s="133"/>
      <c r="D384" s="133"/>
      <c r="E384" s="133"/>
      <c r="F384" s="133"/>
      <c r="G384" s="133"/>
      <c r="H384" s="133"/>
      <c r="I384" s="133"/>
      <c r="J384" s="133"/>
      <c r="K384" s="133"/>
      <c r="L384" s="135"/>
      <c r="M384" s="133"/>
      <c r="N384" s="167"/>
    </row>
    <row r="385" spans="1:14" ht="15.75" customHeight="1" x14ac:dyDescent="0.25">
      <c r="A385" s="131">
        <v>3213</v>
      </c>
      <c r="B385" s="132" t="s">
        <v>81</v>
      </c>
      <c r="C385" s="133"/>
      <c r="D385" s="133"/>
      <c r="E385" s="133"/>
      <c r="F385" s="133"/>
      <c r="G385" s="133"/>
      <c r="H385" s="133"/>
      <c r="I385" s="133"/>
      <c r="J385" s="133"/>
      <c r="K385" s="133"/>
      <c r="L385" s="135"/>
      <c r="M385" s="133">
        <v>3885</v>
      </c>
      <c r="N385" s="167"/>
    </row>
    <row r="386" spans="1:14" ht="15.75" customHeight="1" x14ac:dyDescent="0.25">
      <c r="A386" s="131">
        <v>3214</v>
      </c>
      <c r="B386" s="132" t="s">
        <v>82</v>
      </c>
      <c r="C386" s="133"/>
      <c r="D386" s="133"/>
      <c r="E386" s="133"/>
      <c r="F386" s="133"/>
      <c r="G386" s="133"/>
      <c r="H386" s="133"/>
      <c r="I386" s="133"/>
      <c r="J386" s="133"/>
      <c r="K386" s="133"/>
      <c r="L386" s="135"/>
      <c r="M386" s="133">
        <v>11172</v>
      </c>
      <c r="N386" s="167"/>
    </row>
    <row r="387" spans="1:14" s="38" customFormat="1" ht="15.75" customHeight="1" x14ac:dyDescent="0.25">
      <c r="A387" s="128">
        <v>322</v>
      </c>
      <c r="B387" s="129" t="s">
        <v>48</v>
      </c>
      <c r="C387" s="130">
        <v>2300</v>
      </c>
      <c r="D387" s="130">
        <v>2300</v>
      </c>
      <c r="E387" s="130">
        <v>4615</v>
      </c>
      <c r="F387" s="130">
        <f>15550+2100</f>
        <v>17650</v>
      </c>
      <c r="G387" s="130"/>
      <c r="H387" s="130"/>
      <c r="I387" s="130"/>
      <c r="J387" s="130"/>
      <c r="K387" s="130"/>
      <c r="L387" s="134"/>
      <c r="M387" s="130">
        <f>SUM(M388:M389)</f>
        <v>257.77999999999997</v>
      </c>
      <c r="N387" s="166">
        <f>+M387/E387*100</f>
        <v>5.5856988082340191</v>
      </c>
    </row>
    <row r="388" spans="1:14" s="38" customFormat="1" ht="15.75" customHeight="1" x14ac:dyDescent="0.25">
      <c r="A388" s="131">
        <v>3221</v>
      </c>
      <c r="B388" s="132" t="s">
        <v>73</v>
      </c>
      <c r="C388" s="130"/>
      <c r="D388" s="130"/>
      <c r="E388" s="130"/>
      <c r="F388" s="130"/>
      <c r="G388" s="130"/>
      <c r="H388" s="130"/>
      <c r="I388" s="130"/>
      <c r="J388" s="130"/>
      <c r="K388" s="130"/>
      <c r="L388" s="134"/>
      <c r="M388" s="130">
        <v>257.77999999999997</v>
      </c>
      <c r="N388" s="167"/>
    </row>
    <row r="389" spans="1:14" s="38" customFormat="1" ht="15.75" customHeight="1" x14ac:dyDescent="0.25">
      <c r="A389" s="131">
        <v>3225</v>
      </c>
      <c r="B389" s="132" t="s">
        <v>84</v>
      </c>
      <c r="C389" s="130"/>
      <c r="D389" s="130"/>
      <c r="E389" s="130"/>
      <c r="F389" s="130"/>
      <c r="G389" s="130"/>
      <c r="H389" s="130"/>
      <c r="I389" s="130"/>
      <c r="J389" s="130"/>
      <c r="K389" s="130"/>
      <c r="L389" s="134"/>
      <c r="M389" s="130">
        <v>0</v>
      </c>
      <c r="N389" s="167"/>
    </row>
    <row r="390" spans="1:14" ht="31.5" customHeight="1" x14ac:dyDescent="0.25">
      <c r="A390" s="128">
        <v>37</v>
      </c>
      <c r="B390" s="129" t="s">
        <v>137</v>
      </c>
      <c r="C390" s="130">
        <f>+C391</f>
        <v>8500</v>
      </c>
      <c r="D390" s="130">
        <f>+D391</f>
        <v>8500</v>
      </c>
      <c r="E390" s="130">
        <f>+E391</f>
        <v>9000</v>
      </c>
      <c r="F390" s="130">
        <f t="shared" ref="F390:L390" si="232">+F391</f>
        <v>8950</v>
      </c>
      <c r="G390" s="130">
        <f t="shared" si="232"/>
        <v>0</v>
      </c>
      <c r="H390" s="130">
        <f t="shared" si="232"/>
        <v>0</v>
      </c>
      <c r="I390" s="130">
        <f t="shared" si="232"/>
        <v>0</v>
      </c>
      <c r="J390" s="130">
        <f t="shared" si="232"/>
        <v>0</v>
      </c>
      <c r="K390" s="130">
        <f t="shared" si="232"/>
        <v>0</v>
      </c>
      <c r="L390" s="134">
        <f t="shared" si="232"/>
        <v>0</v>
      </c>
      <c r="M390" s="130">
        <f>+M391</f>
        <v>6757.22</v>
      </c>
      <c r="N390" s="166">
        <f>+M390/E390*100</f>
        <v>75.080222222222233</v>
      </c>
    </row>
    <row r="391" spans="1:14" s="38" customFormat="1" ht="15.75" customHeight="1" x14ac:dyDescent="0.25">
      <c r="A391" s="128">
        <v>372</v>
      </c>
      <c r="B391" s="129" t="s">
        <v>54</v>
      </c>
      <c r="C391" s="130">
        <v>8500</v>
      </c>
      <c r="D391" s="130">
        <v>8500</v>
      </c>
      <c r="E391" s="130">
        <v>9000</v>
      </c>
      <c r="F391" s="130">
        <v>8950</v>
      </c>
      <c r="G391" s="130"/>
      <c r="H391" s="130"/>
      <c r="I391" s="130"/>
      <c r="J391" s="130"/>
      <c r="K391" s="130"/>
      <c r="L391" s="134"/>
      <c r="M391" s="130">
        <f>+M392</f>
        <v>6757.22</v>
      </c>
      <c r="N391" s="166">
        <f>+M391/E391*100</f>
        <v>75.080222222222233</v>
      </c>
    </row>
    <row r="392" spans="1:14" ht="15.75" customHeight="1" x14ac:dyDescent="0.25">
      <c r="A392" s="131">
        <v>3722</v>
      </c>
      <c r="B392" s="132" t="s">
        <v>53</v>
      </c>
      <c r="C392" s="133"/>
      <c r="D392" s="133"/>
      <c r="E392" s="133"/>
      <c r="F392" s="133"/>
      <c r="G392" s="133"/>
      <c r="H392" s="133"/>
      <c r="I392" s="133"/>
      <c r="J392" s="133"/>
      <c r="K392" s="133"/>
      <c r="L392" s="135"/>
      <c r="M392" s="133">
        <v>6757.22</v>
      </c>
      <c r="N392" s="167"/>
    </row>
    <row r="393" spans="1:14" ht="15.75" customHeight="1" x14ac:dyDescent="0.25">
      <c r="A393" s="128">
        <v>4</v>
      </c>
      <c r="B393" s="129" t="s">
        <v>138</v>
      </c>
      <c r="C393" s="130">
        <f t="shared" ref="C393:L394" si="233">+C394</f>
        <v>18000</v>
      </c>
      <c r="D393" s="130">
        <f t="shared" si="233"/>
        <v>19200</v>
      </c>
      <c r="E393" s="130">
        <f t="shared" si="233"/>
        <v>30000</v>
      </c>
      <c r="F393" s="130">
        <f t="shared" si="233"/>
        <v>24500</v>
      </c>
      <c r="G393" s="130">
        <f t="shared" si="233"/>
        <v>0</v>
      </c>
      <c r="H393" s="130">
        <f t="shared" si="233"/>
        <v>0</v>
      </c>
      <c r="I393" s="130">
        <f t="shared" si="233"/>
        <v>0</v>
      </c>
      <c r="J393" s="130">
        <f t="shared" si="233"/>
        <v>0</v>
      </c>
      <c r="K393" s="130">
        <f t="shared" si="233"/>
        <v>0</v>
      </c>
      <c r="L393" s="130">
        <f t="shared" si="233"/>
        <v>0</v>
      </c>
      <c r="M393" s="130">
        <f>+M394</f>
        <v>25000</v>
      </c>
      <c r="N393" s="166">
        <f>+M393/E393*100</f>
        <v>83.333333333333343</v>
      </c>
    </row>
    <row r="394" spans="1:14" ht="15.75" customHeight="1" x14ac:dyDescent="0.25">
      <c r="A394" s="128">
        <v>42</v>
      </c>
      <c r="B394" s="129" t="s">
        <v>140</v>
      </c>
      <c r="C394" s="130">
        <f t="shared" si="233"/>
        <v>18000</v>
      </c>
      <c r="D394" s="130">
        <f t="shared" si="233"/>
        <v>19200</v>
      </c>
      <c r="E394" s="130">
        <f t="shared" si="233"/>
        <v>30000</v>
      </c>
      <c r="F394" s="130">
        <f t="shared" si="233"/>
        <v>24500</v>
      </c>
      <c r="G394" s="130">
        <f t="shared" si="233"/>
        <v>0</v>
      </c>
      <c r="H394" s="130">
        <f t="shared" si="233"/>
        <v>0</v>
      </c>
      <c r="I394" s="130">
        <f t="shared" si="233"/>
        <v>0</v>
      </c>
      <c r="J394" s="130">
        <f t="shared" si="233"/>
        <v>0</v>
      </c>
      <c r="K394" s="130">
        <f t="shared" si="233"/>
        <v>0</v>
      </c>
      <c r="L394" s="130">
        <f t="shared" si="233"/>
        <v>0</v>
      </c>
      <c r="M394" s="130">
        <f>+M395</f>
        <v>25000</v>
      </c>
      <c r="N394" s="166">
        <f>+M394/E394*100</f>
        <v>83.333333333333343</v>
      </c>
    </row>
    <row r="395" spans="1:14" s="38" customFormat="1" ht="15.75" customHeight="1" x14ac:dyDescent="0.25">
      <c r="A395" s="128">
        <v>422</v>
      </c>
      <c r="B395" s="129" t="s">
        <v>59</v>
      </c>
      <c r="C395" s="130">
        <v>18000</v>
      </c>
      <c r="D395" s="130">
        <v>19200</v>
      </c>
      <c r="E395" s="130">
        <v>30000</v>
      </c>
      <c r="F395" s="130">
        <v>24500</v>
      </c>
      <c r="G395" s="130"/>
      <c r="H395" s="130"/>
      <c r="I395" s="130"/>
      <c r="J395" s="130"/>
      <c r="K395" s="130"/>
      <c r="L395" s="134"/>
      <c r="M395" s="130">
        <f>+M396</f>
        <v>25000</v>
      </c>
      <c r="N395" s="166">
        <f>+M395/E395*100</f>
        <v>83.333333333333343</v>
      </c>
    </row>
    <row r="396" spans="1:14" ht="15.75" customHeight="1" x14ac:dyDescent="0.25">
      <c r="A396" s="131">
        <v>4221</v>
      </c>
      <c r="B396" s="132" t="s">
        <v>79</v>
      </c>
      <c r="C396" s="133"/>
      <c r="D396" s="133"/>
      <c r="E396" s="133"/>
      <c r="F396" s="133"/>
      <c r="G396" s="133"/>
      <c r="H396" s="133"/>
      <c r="I396" s="133"/>
      <c r="J396" s="133"/>
      <c r="K396" s="133"/>
      <c r="L396" s="135"/>
      <c r="M396" s="133">
        <v>25000</v>
      </c>
      <c r="N396" s="167"/>
    </row>
    <row r="397" spans="1:14" ht="15.75" customHeight="1" x14ac:dyDescent="0.25">
      <c r="A397" s="160" t="s">
        <v>170</v>
      </c>
      <c r="B397" s="158"/>
      <c r="C397" s="159">
        <f t="shared" ref="C397:L397" si="234">+C398</f>
        <v>8313400</v>
      </c>
      <c r="D397" s="159">
        <f t="shared" si="234"/>
        <v>9524400</v>
      </c>
      <c r="E397" s="159">
        <f t="shared" si="234"/>
        <v>8757100</v>
      </c>
      <c r="F397" s="159">
        <f t="shared" si="234"/>
        <v>8210625</v>
      </c>
      <c r="G397" s="159">
        <f t="shared" si="234"/>
        <v>0</v>
      </c>
      <c r="H397" s="159">
        <f t="shared" si="234"/>
        <v>0</v>
      </c>
      <c r="I397" s="159">
        <f t="shared" si="234"/>
        <v>0</v>
      </c>
      <c r="J397" s="159">
        <f t="shared" si="234"/>
        <v>0</v>
      </c>
      <c r="K397" s="159">
        <f t="shared" si="234"/>
        <v>0</v>
      </c>
      <c r="L397" s="159">
        <f t="shared" si="234"/>
        <v>0</v>
      </c>
      <c r="M397" s="159">
        <f>+M398</f>
        <v>8627136.2400000002</v>
      </c>
      <c r="N397" s="165">
        <f t="shared" ref="N397:N402" si="235">+M397/E397*100</f>
        <v>98.515904123511206</v>
      </c>
    </row>
    <row r="398" spans="1:14" ht="15.75" customHeight="1" x14ac:dyDescent="0.25">
      <c r="A398" s="151" t="s">
        <v>154</v>
      </c>
      <c r="B398" s="151" t="s">
        <v>155</v>
      </c>
      <c r="C398" s="152">
        <f t="shared" ref="C398:L398" si="236">+C399+C418</f>
        <v>8313400</v>
      </c>
      <c r="D398" s="152">
        <f t="shared" si="236"/>
        <v>9524400</v>
      </c>
      <c r="E398" s="152">
        <f>+E399+E418</f>
        <v>8757100</v>
      </c>
      <c r="F398" s="152">
        <f t="shared" si="236"/>
        <v>8210625</v>
      </c>
      <c r="G398" s="152">
        <f t="shared" si="236"/>
        <v>0</v>
      </c>
      <c r="H398" s="152">
        <f t="shared" si="236"/>
        <v>0</v>
      </c>
      <c r="I398" s="152">
        <f t="shared" si="236"/>
        <v>0</v>
      </c>
      <c r="J398" s="152">
        <f t="shared" si="236"/>
        <v>0</v>
      </c>
      <c r="K398" s="152">
        <f t="shared" si="236"/>
        <v>0</v>
      </c>
      <c r="L398" s="152">
        <f t="shared" si="236"/>
        <v>0</v>
      </c>
      <c r="M398" s="152">
        <f>+M399+M418</f>
        <v>8627136.2400000002</v>
      </c>
      <c r="N398" s="172">
        <f t="shared" si="235"/>
        <v>98.515904123511206</v>
      </c>
    </row>
    <row r="399" spans="1:14" ht="15.75" customHeight="1" x14ac:dyDescent="0.25">
      <c r="A399" s="153" t="s">
        <v>156</v>
      </c>
      <c r="B399" s="154" t="s">
        <v>157</v>
      </c>
      <c r="C399" s="155">
        <f>+C400</f>
        <v>7070400</v>
      </c>
      <c r="D399" s="155">
        <f t="shared" ref="D399:M399" si="237">+D400</f>
        <v>8265400</v>
      </c>
      <c r="E399" s="155">
        <f t="shared" si="237"/>
        <v>7341600</v>
      </c>
      <c r="F399" s="155">
        <f t="shared" si="237"/>
        <v>7067325</v>
      </c>
      <c r="G399" s="155">
        <f t="shared" si="237"/>
        <v>0</v>
      </c>
      <c r="H399" s="155">
        <f t="shared" si="237"/>
        <v>0</v>
      </c>
      <c r="I399" s="155">
        <f t="shared" si="237"/>
        <v>0</v>
      </c>
      <c r="J399" s="155">
        <f t="shared" si="237"/>
        <v>0</v>
      </c>
      <c r="K399" s="155">
        <f t="shared" si="237"/>
        <v>0</v>
      </c>
      <c r="L399" s="155">
        <f t="shared" si="237"/>
        <v>0</v>
      </c>
      <c r="M399" s="155">
        <f t="shared" si="237"/>
        <v>7304040.9399999995</v>
      </c>
      <c r="N399" s="173">
        <f t="shared" si="235"/>
        <v>99.4884077040427</v>
      </c>
    </row>
    <row r="400" spans="1:14" ht="15.75" customHeight="1" x14ac:dyDescent="0.25">
      <c r="A400" s="128">
        <v>3</v>
      </c>
      <c r="B400" s="129" t="s">
        <v>41</v>
      </c>
      <c r="C400" s="130">
        <f>+C401+C410</f>
        <v>7070400</v>
      </c>
      <c r="D400" s="130">
        <f>+D401+D410</f>
        <v>8265400</v>
      </c>
      <c r="E400" s="130">
        <f>+E401+E410</f>
        <v>7341600</v>
      </c>
      <c r="F400" s="130">
        <f t="shared" ref="F400:L400" si="238">+F401+F410</f>
        <v>7067325</v>
      </c>
      <c r="G400" s="130">
        <f t="shared" si="238"/>
        <v>0</v>
      </c>
      <c r="H400" s="130">
        <f t="shared" si="238"/>
        <v>0</v>
      </c>
      <c r="I400" s="130">
        <f t="shared" si="238"/>
        <v>0</v>
      </c>
      <c r="J400" s="130">
        <f t="shared" si="238"/>
        <v>0</v>
      </c>
      <c r="K400" s="130">
        <f t="shared" si="238"/>
        <v>0</v>
      </c>
      <c r="L400" s="130">
        <f t="shared" si="238"/>
        <v>0</v>
      </c>
      <c r="M400" s="130">
        <f>+M401+M410</f>
        <v>7304040.9399999995</v>
      </c>
      <c r="N400" s="166">
        <f t="shared" si="235"/>
        <v>99.4884077040427</v>
      </c>
    </row>
    <row r="401" spans="1:14" ht="15.75" customHeight="1" x14ac:dyDescent="0.25">
      <c r="A401" s="128">
        <v>31</v>
      </c>
      <c r="B401" s="129" t="s">
        <v>42</v>
      </c>
      <c r="C401" s="130">
        <f>SUM(C402:C408)</f>
        <v>6780000</v>
      </c>
      <c r="D401" s="130">
        <f>SUM(D402:D408)</f>
        <v>7975000</v>
      </c>
      <c r="E401" s="130">
        <f>SUM(E402:E408)</f>
        <v>6995000</v>
      </c>
      <c r="F401" s="130">
        <f t="shared" ref="F401:L401" si="239">SUM(F402:F408)</f>
        <v>6780000</v>
      </c>
      <c r="G401" s="130">
        <f t="shared" si="239"/>
        <v>0</v>
      </c>
      <c r="H401" s="130">
        <f t="shared" si="239"/>
        <v>0</v>
      </c>
      <c r="I401" s="130">
        <f t="shared" si="239"/>
        <v>0</v>
      </c>
      <c r="J401" s="130">
        <f t="shared" si="239"/>
        <v>0</v>
      </c>
      <c r="K401" s="130">
        <f t="shared" si="239"/>
        <v>0</v>
      </c>
      <c r="L401" s="134">
        <f t="shared" si="239"/>
        <v>0</v>
      </c>
      <c r="M401" s="130">
        <f>+M402+M406+M408</f>
        <v>6949969.4699999997</v>
      </c>
      <c r="N401" s="166">
        <f t="shared" si="235"/>
        <v>99.356246890636172</v>
      </c>
    </row>
    <row r="402" spans="1:14" ht="15.75" customHeight="1" x14ac:dyDescent="0.25">
      <c r="A402" s="128">
        <v>311</v>
      </c>
      <c r="B402" s="129" t="s">
        <v>135</v>
      </c>
      <c r="C402" s="130">
        <v>5600000</v>
      </c>
      <c r="D402" s="130">
        <v>5600000</v>
      </c>
      <c r="E402" s="130">
        <v>5800000</v>
      </c>
      <c r="F402" s="130">
        <v>5600000</v>
      </c>
      <c r="G402" s="130"/>
      <c r="H402" s="130"/>
      <c r="I402" s="130"/>
      <c r="J402" s="130"/>
      <c r="K402" s="130"/>
      <c r="L402" s="134"/>
      <c r="M402" s="130">
        <f>+M403+M404+M405</f>
        <v>5769201.6099999994</v>
      </c>
      <c r="N402" s="166">
        <f t="shared" si="235"/>
        <v>99.468993275862061</v>
      </c>
    </row>
    <row r="403" spans="1:14" ht="15.75" customHeight="1" x14ac:dyDescent="0.25">
      <c r="A403" s="131">
        <v>3111</v>
      </c>
      <c r="B403" s="132" t="s">
        <v>66</v>
      </c>
      <c r="C403" s="133"/>
      <c r="D403" s="133"/>
      <c r="E403" s="133"/>
      <c r="F403" s="133"/>
      <c r="G403" s="133"/>
      <c r="H403" s="133"/>
      <c r="I403" s="133"/>
      <c r="J403" s="133"/>
      <c r="K403" s="133"/>
      <c r="L403" s="135"/>
      <c r="M403" s="133">
        <v>5391540.0999999996</v>
      </c>
      <c r="N403" s="167"/>
    </row>
    <row r="404" spans="1:14" ht="15.75" customHeight="1" x14ac:dyDescent="0.25">
      <c r="A404" s="131">
        <v>3113</v>
      </c>
      <c r="B404" s="132" t="s">
        <v>67</v>
      </c>
      <c r="C404" s="133"/>
      <c r="D404" s="133"/>
      <c r="E404" s="133"/>
      <c r="F404" s="133"/>
      <c r="G404" s="133"/>
      <c r="H404" s="133"/>
      <c r="I404" s="133"/>
      <c r="J404" s="133"/>
      <c r="K404" s="133"/>
      <c r="L404" s="135"/>
      <c r="M404" s="133">
        <v>139532</v>
      </c>
      <c r="N404" s="167"/>
    </row>
    <row r="405" spans="1:14" ht="15.75" customHeight="1" x14ac:dyDescent="0.25">
      <c r="A405" s="131">
        <v>3114</v>
      </c>
      <c r="B405" s="132" t="s">
        <v>68</v>
      </c>
      <c r="C405" s="133"/>
      <c r="D405" s="133"/>
      <c r="E405" s="133"/>
      <c r="F405" s="133"/>
      <c r="G405" s="133"/>
      <c r="H405" s="133"/>
      <c r="I405" s="133"/>
      <c r="J405" s="133"/>
      <c r="K405" s="133"/>
      <c r="L405" s="135"/>
      <c r="M405" s="133">
        <v>238129.51</v>
      </c>
      <c r="N405" s="167"/>
    </row>
    <row r="406" spans="1:14" ht="15.75" customHeight="1" x14ac:dyDescent="0.25">
      <c r="A406" s="128">
        <v>312</v>
      </c>
      <c r="B406" s="129" t="s">
        <v>44</v>
      </c>
      <c r="C406" s="130">
        <v>250000</v>
      </c>
      <c r="D406" s="130">
        <f>SUM(E406:K406)</f>
        <v>485000</v>
      </c>
      <c r="E406" s="130">
        <v>235000</v>
      </c>
      <c r="F406" s="130">
        <v>250000</v>
      </c>
      <c r="G406" s="130"/>
      <c r="H406" s="130"/>
      <c r="I406" s="130"/>
      <c r="J406" s="130"/>
      <c r="K406" s="130"/>
      <c r="L406" s="134"/>
      <c r="M406" s="130">
        <f>+M407</f>
        <v>228849.53</v>
      </c>
      <c r="N406" s="166">
        <f>+M406/E406*100</f>
        <v>97.382778723404257</v>
      </c>
    </row>
    <row r="407" spans="1:14" ht="15.75" customHeight="1" x14ac:dyDescent="0.25">
      <c r="A407" s="131">
        <v>3121</v>
      </c>
      <c r="B407" s="132" t="s">
        <v>44</v>
      </c>
      <c r="C407" s="133"/>
      <c r="D407" s="133"/>
      <c r="E407" s="133"/>
      <c r="F407" s="133"/>
      <c r="G407" s="133"/>
      <c r="H407" s="133"/>
      <c r="I407" s="133"/>
      <c r="J407" s="133"/>
      <c r="K407" s="133"/>
      <c r="L407" s="135"/>
      <c r="M407" s="133">
        <v>228849.53</v>
      </c>
      <c r="N407" s="167"/>
    </row>
    <row r="408" spans="1:14" ht="15.75" customHeight="1" x14ac:dyDescent="0.25">
      <c r="A408" s="128">
        <v>313</v>
      </c>
      <c r="B408" s="129" t="s">
        <v>45</v>
      </c>
      <c r="C408" s="130">
        <v>930000</v>
      </c>
      <c r="D408" s="130">
        <f>SUM(E408:K408)</f>
        <v>1890000</v>
      </c>
      <c r="E408" s="130">
        <v>960000</v>
      </c>
      <c r="F408" s="130">
        <v>930000</v>
      </c>
      <c r="G408" s="130"/>
      <c r="H408" s="130"/>
      <c r="I408" s="130"/>
      <c r="J408" s="130"/>
      <c r="K408" s="130"/>
      <c r="L408" s="134"/>
      <c r="M408" s="130">
        <f>+M409</f>
        <v>951918.33</v>
      </c>
      <c r="N408" s="166">
        <f>+M408/E408*100</f>
        <v>99.158159374999997</v>
      </c>
    </row>
    <row r="409" spans="1:14" ht="15.75" customHeight="1" x14ac:dyDescent="0.25">
      <c r="A409" s="131">
        <v>3132</v>
      </c>
      <c r="B409" s="132" t="s">
        <v>69</v>
      </c>
      <c r="C409" s="133"/>
      <c r="D409" s="133"/>
      <c r="E409" s="133"/>
      <c r="F409" s="133"/>
      <c r="G409" s="133"/>
      <c r="H409" s="133"/>
      <c r="I409" s="133"/>
      <c r="J409" s="133"/>
      <c r="K409" s="133"/>
      <c r="L409" s="135"/>
      <c r="M409" s="133">
        <v>951918.33</v>
      </c>
      <c r="N409" s="167"/>
    </row>
    <row r="410" spans="1:14" ht="15.75" customHeight="1" x14ac:dyDescent="0.25">
      <c r="A410" s="128">
        <v>32</v>
      </c>
      <c r="B410" s="129" t="s">
        <v>46</v>
      </c>
      <c r="C410" s="130">
        <f>+C411+C413+C415</f>
        <v>290400</v>
      </c>
      <c r="D410" s="130">
        <f>+D411+D415</f>
        <v>290400</v>
      </c>
      <c r="E410" s="130">
        <f>+E411+E415+E413</f>
        <v>346600</v>
      </c>
      <c r="F410" s="130">
        <f t="shared" ref="F410:L410" si="240">SUM(F411:F415)</f>
        <v>287325</v>
      </c>
      <c r="G410" s="130">
        <f t="shared" si="240"/>
        <v>0</v>
      </c>
      <c r="H410" s="130">
        <f t="shared" si="240"/>
        <v>0</v>
      </c>
      <c r="I410" s="130">
        <f t="shared" si="240"/>
        <v>0</v>
      </c>
      <c r="J410" s="130">
        <f t="shared" si="240"/>
        <v>0</v>
      </c>
      <c r="K410" s="130">
        <f t="shared" si="240"/>
        <v>0</v>
      </c>
      <c r="L410" s="134">
        <f t="shared" si="240"/>
        <v>0</v>
      </c>
      <c r="M410" s="130">
        <f>+M411+M413+M415</f>
        <v>354071.47</v>
      </c>
      <c r="N410" s="166">
        <f>+M410/E410*100</f>
        <v>102.1556462781304</v>
      </c>
    </row>
    <row r="411" spans="1:14" ht="15.75" customHeight="1" x14ac:dyDescent="0.25">
      <c r="A411" s="128">
        <v>321</v>
      </c>
      <c r="B411" s="129" t="s">
        <v>47</v>
      </c>
      <c r="C411" s="130">
        <v>270000</v>
      </c>
      <c r="D411" s="130">
        <v>270000</v>
      </c>
      <c r="E411" s="130">
        <v>330000</v>
      </c>
      <c r="F411" s="130">
        <v>260000</v>
      </c>
      <c r="G411" s="130"/>
      <c r="H411" s="130"/>
      <c r="I411" s="130"/>
      <c r="J411" s="130"/>
      <c r="K411" s="130"/>
      <c r="L411" s="134"/>
      <c r="M411" s="130">
        <f>+M412</f>
        <v>337508.97</v>
      </c>
      <c r="N411" s="166">
        <f>+M411/E411*100</f>
        <v>102.27544545454546</v>
      </c>
    </row>
    <row r="412" spans="1:14" ht="15.75" customHeight="1" x14ac:dyDescent="0.25">
      <c r="A412" s="131">
        <v>3212</v>
      </c>
      <c r="B412" s="132" t="s">
        <v>71</v>
      </c>
      <c r="M412">
        <v>337508.97</v>
      </c>
      <c r="N412" s="96"/>
    </row>
    <row r="413" spans="1:14" ht="15.75" customHeight="1" x14ac:dyDescent="0.25">
      <c r="A413" s="128">
        <v>323</v>
      </c>
      <c r="B413" s="129" t="s">
        <v>49</v>
      </c>
      <c r="C413" s="130"/>
      <c r="D413" s="130">
        <v>0</v>
      </c>
      <c r="E413" s="130">
        <v>4550</v>
      </c>
      <c r="F413" s="130">
        <v>7000</v>
      </c>
      <c r="G413" s="130"/>
      <c r="H413" s="130"/>
      <c r="I413" s="130"/>
      <c r="J413" s="130"/>
      <c r="K413" s="130"/>
      <c r="L413" s="134"/>
      <c r="M413" s="130">
        <f>+M414</f>
        <v>4550</v>
      </c>
      <c r="N413" s="166">
        <f>+M413/E413*100</f>
        <v>100</v>
      </c>
    </row>
    <row r="414" spans="1:14" ht="15.75" customHeight="1" x14ac:dyDescent="0.25">
      <c r="A414" s="131">
        <v>3236</v>
      </c>
      <c r="B414" s="132" t="s">
        <v>115</v>
      </c>
      <c r="C414" s="130"/>
      <c r="D414" s="130"/>
      <c r="E414" s="130"/>
      <c r="F414" s="130"/>
      <c r="G414" s="130"/>
      <c r="H414" s="130"/>
      <c r="I414" s="130"/>
      <c r="J414" s="130"/>
      <c r="K414" s="130"/>
      <c r="L414" s="134"/>
      <c r="M414" s="130">
        <v>4550</v>
      </c>
      <c r="N414" s="166"/>
    </row>
    <row r="415" spans="1:14" ht="15.75" customHeight="1" x14ac:dyDescent="0.25">
      <c r="A415" s="128">
        <v>329</v>
      </c>
      <c r="B415" s="129" t="s">
        <v>50</v>
      </c>
      <c r="C415" s="130">
        <v>20400</v>
      </c>
      <c r="D415" s="130">
        <v>20400</v>
      </c>
      <c r="E415" s="130">
        <v>12050</v>
      </c>
      <c r="F415" s="130">
        <v>20325</v>
      </c>
      <c r="G415" s="130"/>
      <c r="H415" s="130"/>
      <c r="I415" s="130"/>
      <c r="J415" s="130"/>
      <c r="K415" s="130"/>
      <c r="L415" s="134"/>
      <c r="M415" s="130">
        <f>+M416</f>
        <v>12012.5</v>
      </c>
      <c r="N415" s="166">
        <f>+M415/E415*100</f>
        <v>99.68879668049793</v>
      </c>
    </row>
    <row r="416" spans="1:14" ht="15.75" customHeight="1" x14ac:dyDescent="0.25">
      <c r="A416" s="131">
        <v>3295</v>
      </c>
      <c r="B416" s="132" t="s">
        <v>72</v>
      </c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>
        <v>12012.5</v>
      </c>
      <c r="N416" s="171"/>
    </row>
    <row r="417" spans="1:14" ht="15.75" customHeight="1" x14ac:dyDescent="0.25">
      <c r="A417" s="160" t="s">
        <v>170</v>
      </c>
      <c r="B417" s="158"/>
      <c r="C417" s="159">
        <f>+C418</f>
        <v>1243000</v>
      </c>
      <c r="D417" s="159">
        <f t="shared" ref="D417:M417" si="241">+D418</f>
        <v>1259000</v>
      </c>
      <c r="E417" s="159">
        <f t="shared" si="241"/>
        <v>1415500</v>
      </c>
      <c r="F417" s="159">
        <f t="shared" si="241"/>
        <v>1143300</v>
      </c>
      <c r="G417" s="159">
        <f t="shared" si="241"/>
        <v>0</v>
      </c>
      <c r="H417" s="159">
        <f t="shared" si="241"/>
        <v>0</v>
      </c>
      <c r="I417" s="159">
        <f t="shared" si="241"/>
        <v>0</v>
      </c>
      <c r="J417" s="159">
        <f t="shared" si="241"/>
        <v>0</v>
      </c>
      <c r="K417" s="159">
        <f t="shared" si="241"/>
        <v>0</v>
      </c>
      <c r="L417" s="159">
        <f t="shared" si="241"/>
        <v>0</v>
      </c>
      <c r="M417" s="159">
        <f t="shared" si="241"/>
        <v>1323095.3</v>
      </c>
      <c r="N417" s="165">
        <f>+N418</f>
        <v>93.471939244083373</v>
      </c>
    </row>
    <row r="418" spans="1:14" ht="15.75" customHeight="1" x14ac:dyDescent="0.25">
      <c r="A418" s="153" t="s">
        <v>158</v>
      </c>
      <c r="B418" s="154" t="s">
        <v>159</v>
      </c>
      <c r="C418" s="155">
        <f t="shared" ref="C418:L418" si="242">+C419+C436</f>
        <v>1243000</v>
      </c>
      <c r="D418" s="155">
        <f>+D419+D436</f>
        <v>1259000</v>
      </c>
      <c r="E418" s="155">
        <f>+E419+E436</f>
        <v>1415500</v>
      </c>
      <c r="F418" s="155">
        <f t="shared" si="242"/>
        <v>1143300</v>
      </c>
      <c r="G418" s="155">
        <f t="shared" si="242"/>
        <v>0</v>
      </c>
      <c r="H418" s="155">
        <f t="shared" si="242"/>
        <v>0</v>
      </c>
      <c r="I418" s="155">
        <f t="shared" si="242"/>
        <v>0</v>
      </c>
      <c r="J418" s="155">
        <f t="shared" si="242"/>
        <v>0</v>
      </c>
      <c r="K418" s="155">
        <f t="shared" si="242"/>
        <v>0</v>
      </c>
      <c r="L418" s="155">
        <f t="shared" si="242"/>
        <v>0</v>
      </c>
      <c r="M418" s="155">
        <f>+M419+M436</f>
        <v>1323095.3</v>
      </c>
      <c r="N418" s="173">
        <f>+M418/E418*100</f>
        <v>93.471939244083373</v>
      </c>
    </row>
    <row r="419" spans="1:14" ht="15.75" customHeight="1" x14ac:dyDescent="0.25">
      <c r="A419" s="128">
        <v>3</v>
      </c>
      <c r="B419" s="129" t="s">
        <v>41</v>
      </c>
      <c r="C419" s="130">
        <f>+C420+C433</f>
        <v>1226000</v>
      </c>
      <c r="D419" s="130">
        <f>+D420+D433</f>
        <v>1226000</v>
      </c>
      <c r="E419" s="130">
        <f>+E420+E433</f>
        <v>1399500</v>
      </c>
      <c r="F419" s="130">
        <f t="shared" ref="F419:M419" si="243">+F420+F433</f>
        <v>1126300</v>
      </c>
      <c r="G419" s="130">
        <f t="shared" si="243"/>
        <v>0</v>
      </c>
      <c r="H419" s="130">
        <f t="shared" si="243"/>
        <v>0</v>
      </c>
      <c r="I419" s="130">
        <f t="shared" si="243"/>
        <v>0</v>
      </c>
      <c r="J419" s="130">
        <f t="shared" si="243"/>
        <v>0</v>
      </c>
      <c r="K419" s="130">
        <f t="shared" si="243"/>
        <v>0</v>
      </c>
      <c r="L419" s="130">
        <f t="shared" si="243"/>
        <v>0</v>
      </c>
      <c r="M419" s="130">
        <f t="shared" si="243"/>
        <v>1309633.04</v>
      </c>
      <c r="N419" s="166">
        <f>+M419/E419*100</f>
        <v>93.578638085030377</v>
      </c>
    </row>
    <row r="420" spans="1:14" ht="15.75" customHeight="1" x14ac:dyDescent="0.25">
      <c r="A420" s="128">
        <v>32</v>
      </c>
      <c r="B420" s="129" t="s">
        <v>46</v>
      </c>
      <c r="C420" s="130">
        <f>+C421+C425+C430</f>
        <v>671000</v>
      </c>
      <c r="D420" s="130">
        <f>+D421+D425+D430</f>
        <v>671000</v>
      </c>
      <c r="E420" s="130">
        <f>+E421+E425+E430</f>
        <v>719500</v>
      </c>
      <c r="F420" s="130">
        <f t="shared" ref="F420:L420" si="244">SUM(F421:F430)</f>
        <v>556300</v>
      </c>
      <c r="G420" s="130">
        <f t="shared" si="244"/>
        <v>0</v>
      </c>
      <c r="H420" s="130">
        <f t="shared" si="244"/>
        <v>0</v>
      </c>
      <c r="I420" s="130">
        <f t="shared" si="244"/>
        <v>0</v>
      </c>
      <c r="J420" s="130">
        <f t="shared" si="244"/>
        <v>0</v>
      </c>
      <c r="K420" s="130">
        <f t="shared" si="244"/>
        <v>0</v>
      </c>
      <c r="L420" s="134">
        <f t="shared" si="244"/>
        <v>0</v>
      </c>
      <c r="M420" s="130">
        <f>+M421+M425+M430</f>
        <v>681722.05</v>
      </c>
      <c r="N420" s="166">
        <f>+M420/E420*100</f>
        <v>94.749416261292581</v>
      </c>
    </row>
    <row r="421" spans="1:14" ht="15.75" customHeight="1" x14ac:dyDescent="0.25">
      <c r="A421" s="128">
        <v>322</v>
      </c>
      <c r="B421" s="129" t="s">
        <v>48</v>
      </c>
      <c r="C421" s="130">
        <v>71500</v>
      </c>
      <c r="D421" s="130">
        <v>71500</v>
      </c>
      <c r="E421" s="130">
        <v>105000</v>
      </c>
      <c r="F421" s="130">
        <f>32000+24000+13000+4000</f>
        <v>73000</v>
      </c>
      <c r="G421" s="130"/>
      <c r="H421" s="130"/>
      <c r="I421" s="130"/>
      <c r="J421" s="130"/>
      <c r="K421" s="130"/>
      <c r="L421" s="134"/>
      <c r="M421" s="130">
        <f>SUM(M422:M424)</f>
        <v>86626.63</v>
      </c>
      <c r="N421" s="166">
        <f>+M421/E421*100</f>
        <v>82.501552380952376</v>
      </c>
    </row>
    <row r="422" spans="1:14" ht="15.75" customHeight="1" x14ac:dyDescent="0.25">
      <c r="A422" s="131">
        <v>3221</v>
      </c>
      <c r="B422" s="132" t="s">
        <v>73</v>
      </c>
      <c r="C422" s="130"/>
      <c r="D422" s="130"/>
      <c r="E422" s="130"/>
      <c r="F422" s="130"/>
      <c r="G422" s="130"/>
      <c r="H422" s="130"/>
      <c r="I422" s="130"/>
      <c r="J422" s="130"/>
      <c r="K422" s="130"/>
      <c r="L422" s="134"/>
      <c r="M422" s="130">
        <v>55185.84</v>
      </c>
      <c r="N422" s="167"/>
    </row>
    <row r="423" spans="1:14" ht="15.75" customHeight="1" x14ac:dyDescent="0.25">
      <c r="A423" s="131">
        <v>3223</v>
      </c>
      <c r="B423" s="132" t="s">
        <v>74</v>
      </c>
      <c r="C423" s="130"/>
      <c r="D423" s="130"/>
      <c r="E423" s="130"/>
      <c r="F423" s="130"/>
      <c r="G423" s="130"/>
      <c r="H423" s="130"/>
      <c r="I423" s="130"/>
      <c r="J423" s="130"/>
      <c r="K423" s="130"/>
      <c r="L423" s="134"/>
      <c r="M423" s="130">
        <v>24266.44</v>
      </c>
      <c r="N423" s="167"/>
    </row>
    <row r="424" spans="1:14" ht="15.75" customHeight="1" x14ac:dyDescent="0.25">
      <c r="A424" s="131">
        <v>3225</v>
      </c>
      <c r="B424" s="132" t="s">
        <v>84</v>
      </c>
      <c r="C424" s="130"/>
      <c r="D424" s="130"/>
      <c r="E424" s="130"/>
      <c r="F424" s="130"/>
      <c r="G424" s="130"/>
      <c r="H424" s="130"/>
      <c r="I424" s="130"/>
      <c r="J424" s="130"/>
      <c r="K424" s="130"/>
      <c r="L424" s="134"/>
      <c r="M424" s="130">
        <v>7174.35</v>
      </c>
      <c r="N424" s="167"/>
    </row>
    <row r="425" spans="1:14" ht="15.75" customHeight="1" x14ac:dyDescent="0.25">
      <c r="A425" s="128">
        <v>323</v>
      </c>
      <c r="B425" s="129" t="s">
        <v>49</v>
      </c>
      <c r="C425" s="130">
        <v>592500</v>
      </c>
      <c r="D425" s="130">
        <v>592500</v>
      </c>
      <c r="E425" s="130">
        <v>604500</v>
      </c>
      <c r="F425" s="130">
        <f>440000+25500+7800+1500</f>
        <v>474800</v>
      </c>
      <c r="G425" s="130"/>
      <c r="H425" s="130"/>
      <c r="I425" s="130"/>
      <c r="J425" s="130"/>
      <c r="K425" s="130"/>
      <c r="L425" s="134"/>
      <c r="M425" s="130">
        <f>SUM(M426:M429)</f>
        <v>585848.56000000006</v>
      </c>
      <c r="N425" s="166">
        <f>+M425/E425*100</f>
        <v>96.914567411083553</v>
      </c>
    </row>
    <row r="426" spans="1:14" ht="15.75" customHeight="1" x14ac:dyDescent="0.25">
      <c r="A426" s="131">
        <v>3231</v>
      </c>
      <c r="B426" s="132" t="s">
        <v>75</v>
      </c>
      <c r="C426" s="130"/>
      <c r="D426" s="130"/>
      <c r="E426" s="130"/>
      <c r="F426" s="130"/>
      <c r="G426" s="130"/>
      <c r="H426" s="130"/>
      <c r="I426" s="130"/>
      <c r="J426" s="130"/>
      <c r="K426" s="130"/>
      <c r="L426" s="134"/>
      <c r="M426" s="130">
        <v>574535</v>
      </c>
      <c r="N426" s="167"/>
    </row>
    <row r="427" spans="1:14" ht="15.75" customHeight="1" x14ac:dyDescent="0.25">
      <c r="A427" s="131">
        <v>3232</v>
      </c>
      <c r="B427" s="132" t="s">
        <v>76</v>
      </c>
      <c r="C427" s="130"/>
      <c r="D427" s="130"/>
      <c r="E427" s="130"/>
      <c r="F427" s="130"/>
      <c r="G427" s="130"/>
      <c r="H427" s="130"/>
      <c r="I427" s="130"/>
      <c r="J427" s="130"/>
      <c r="K427" s="130"/>
      <c r="L427" s="134"/>
      <c r="M427" s="130">
        <v>3163.93</v>
      </c>
      <c r="N427" s="167"/>
    </row>
    <row r="428" spans="1:14" ht="15.75" customHeight="1" x14ac:dyDescent="0.25">
      <c r="A428" s="131">
        <v>3235</v>
      </c>
      <c r="B428" s="132" t="s">
        <v>87</v>
      </c>
      <c r="C428" s="130"/>
      <c r="D428" s="130"/>
      <c r="E428" s="130"/>
      <c r="F428" s="130"/>
      <c r="G428" s="130"/>
      <c r="H428" s="130"/>
      <c r="I428" s="130"/>
      <c r="J428" s="130"/>
      <c r="K428" s="130"/>
      <c r="L428" s="134"/>
      <c r="M428" s="130">
        <v>6515.04</v>
      </c>
      <c r="N428" s="167"/>
    </row>
    <row r="429" spans="1:14" ht="15.75" customHeight="1" x14ac:dyDescent="0.25">
      <c r="A429" s="131">
        <v>3239</v>
      </c>
      <c r="B429" s="132" t="s">
        <v>77</v>
      </c>
      <c r="C429" s="130"/>
      <c r="D429" s="130"/>
      <c r="E429" s="130"/>
      <c r="F429" s="130"/>
      <c r="G429" s="130"/>
      <c r="H429" s="130"/>
      <c r="I429" s="130"/>
      <c r="J429" s="130"/>
      <c r="K429" s="130"/>
      <c r="L429" s="134"/>
      <c r="M429" s="130">
        <v>1634.59</v>
      </c>
      <c r="N429" s="167"/>
    </row>
    <row r="430" spans="1:14" ht="15.75" customHeight="1" x14ac:dyDescent="0.25">
      <c r="A430" s="128">
        <v>329</v>
      </c>
      <c r="B430" s="129" t="s">
        <v>50</v>
      </c>
      <c r="C430" s="130">
        <v>7000</v>
      </c>
      <c r="D430" s="130">
        <v>7000</v>
      </c>
      <c r="E430" s="130">
        <v>10000</v>
      </c>
      <c r="F430" s="130">
        <v>8500</v>
      </c>
      <c r="G430" s="130"/>
      <c r="H430" s="130"/>
      <c r="I430" s="130"/>
      <c r="J430" s="130"/>
      <c r="K430" s="130"/>
      <c r="L430" s="134"/>
      <c r="M430" s="130">
        <f>+M431+M432</f>
        <v>9246.86</v>
      </c>
      <c r="N430" s="166">
        <f>+M430/E430*100</f>
        <v>92.468599999999995</v>
      </c>
    </row>
    <row r="431" spans="1:14" ht="15.75" customHeight="1" x14ac:dyDescent="0.25">
      <c r="A431" s="131">
        <v>3292</v>
      </c>
      <c r="B431" s="132" t="s">
        <v>78</v>
      </c>
      <c r="C431" s="130"/>
      <c r="D431" s="130"/>
      <c r="E431" s="130"/>
      <c r="F431" s="130"/>
      <c r="G431" s="130"/>
      <c r="H431" s="130"/>
      <c r="I431" s="130"/>
      <c r="J431" s="130"/>
      <c r="K431" s="130"/>
      <c r="L431" s="134"/>
      <c r="M431" s="130">
        <v>8019.86</v>
      </c>
      <c r="N431" s="167"/>
    </row>
    <row r="432" spans="1:14" ht="15.75" customHeight="1" x14ac:dyDescent="0.25">
      <c r="A432" s="131">
        <v>3299</v>
      </c>
      <c r="B432" s="132" t="s">
        <v>50</v>
      </c>
      <c r="C432" s="130"/>
      <c r="D432" s="130"/>
      <c r="E432" s="130"/>
      <c r="F432" s="130"/>
      <c r="G432" s="130"/>
      <c r="H432" s="130"/>
      <c r="I432" s="130"/>
      <c r="J432" s="130"/>
      <c r="K432" s="130"/>
      <c r="L432" s="134"/>
      <c r="M432" s="130">
        <v>1227</v>
      </c>
      <c r="N432" s="167"/>
    </row>
    <row r="433" spans="1:20" ht="31.5" customHeight="1" x14ac:dyDescent="0.25">
      <c r="A433" s="128">
        <v>37</v>
      </c>
      <c r="B433" s="129" t="s">
        <v>137</v>
      </c>
      <c r="C433" s="130">
        <f>+C434</f>
        <v>555000</v>
      </c>
      <c r="D433" s="130">
        <f>+D434</f>
        <v>555000</v>
      </c>
      <c r="E433" s="130">
        <f>+E434</f>
        <v>680000</v>
      </c>
      <c r="F433" s="130">
        <f t="shared" ref="F433:M433" si="245">+F434</f>
        <v>570000</v>
      </c>
      <c r="G433" s="130">
        <f t="shared" si="245"/>
        <v>0</v>
      </c>
      <c r="H433" s="130">
        <f t="shared" si="245"/>
        <v>0</v>
      </c>
      <c r="I433" s="130">
        <f t="shared" si="245"/>
        <v>0</v>
      </c>
      <c r="J433" s="130">
        <f t="shared" si="245"/>
        <v>0</v>
      </c>
      <c r="K433" s="130">
        <f t="shared" si="245"/>
        <v>0</v>
      </c>
      <c r="L433" s="134">
        <f t="shared" si="245"/>
        <v>0</v>
      </c>
      <c r="M433" s="130">
        <f t="shared" si="245"/>
        <v>627910.99</v>
      </c>
      <c r="N433" s="166">
        <f>+M433/E433*100</f>
        <v>92.339851470588229</v>
      </c>
    </row>
    <row r="434" spans="1:20" ht="15.75" customHeight="1" x14ac:dyDescent="0.25">
      <c r="A434" s="128">
        <v>372</v>
      </c>
      <c r="B434" s="129" t="s">
        <v>54</v>
      </c>
      <c r="C434" s="130">
        <v>555000</v>
      </c>
      <c r="D434" s="130">
        <v>555000</v>
      </c>
      <c r="E434" s="130">
        <v>680000</v>
      </c>
      <c r="F434" s="130">
        <f>420000+120000+30000</f>
        <v>570000</v>
      </c>
      <c r="G434" s="130"/>
      <c r="H434" s="130"/>
      <c r="I434" s="130"/>
      <c r="J434" s="130"/>
      <c r="K434" s="130"/>
      <c r="L434" s="134"/>
      <c r="M434" s="130">
        <f>+M435</f>
        <v>627910.99</v>
      </c>
      <c r="N434" s="166">
        <f>+M434/E434*100</f>
        <v>92.339851470588229</v>
      </c>
    </row>
    <row r="435" spans="1:20" ht="15.75" customHeight="1" x14ac:dyDescent="0.25">
      <c r="A435" s="131">
        <v>3722</v>
      </c>
      <c r="B435" s="132" t="s">
        <v>53</v>
      </c>
      <c r="C435" s="130"/>
      <c r="D435" s="130"/>
      <c r="E435" s="130"/>
      <c r="F435" s="130"/>
      <c r="G435" s="130"/>
      <c r="H435" s="130"/>
      <c r="I435" s="130"/>
      <c r="J435" s="130"/>
      <c r="K435" s="130"/>
      <c r="L435" s="134"/>
      <c r="M435" s="130">
        <v>627910.99</v>
      </c>
      <c r="N435" s="166"/>
    </row>
    <row r="436" spans="1:20" ht="15.75" customHeight="1" x14ac:dyDescent="0.25">
      <c r="A436" s="128">
        <v>4</v>
      </c>
      <c r="B436" s="129" t="s">
        <v>138</v>
      </c>
      <c r="C436" s="130">
        <f t="shared" ref="C436:L437" si="246">+C437</f>
        <v>17000</v>
      </c>
      <c r="D436" s="130">
        <f t="shared" si="246"/>
        <v>33000</v>
      </c>
      <c r="E436" s="130">
        <f t="shared" si="246"/>
        <v>16000</v>
      </c>
      <c r="F436" s="130">
        <f t="shared" si="246"/>
        <v>17000</v>
      </c>
      <c r="G436" s="130">
        <f t="shared" si="246"/>
        <v>0</v>
      </c>
      <c r="H436" s="130">
        <f t="shared" si="246"/>
        <v>0</v>
      </c>
      <c r="I436" s="130">
        <f t="shared" si="246"/>
        <v>0</v>
      </c>
      <c r="J436" s="130">
        <f t="shared" si="246"/>
        <v>0</v>
      </c>
      <c r="K436" s="130">
        <f t="shared" si="246"/>
        <v>0</v>
      </c>
      <c r="L436" s="130">
        <f t="shared" si="246"/>
        <v>0</v>
      </c>
      <c r="M436" s="130">
        <f>+M437</f>
        <v>13462.26</v>
      </c>
      <c r="N436" s="166">
        <f>+M436/E436*100</f>
        <v>84.139125000000007</v>
      </c>
    </row>
    <row r="437" spans="1:20" ht="15.75" customHeight="1" x14ac:dyDescent="0.25">
      <c r="A437" s="128">
        <v>42</v>
      </c>
      <c r="B437" s="129" t="s">
        <v>140</v>
      </c>
      <c r="C437" s="130">
        <f t="shared" si="246"/>
        <v>17000</v>
      </c>
      <c r="D437" s="130">
        <f t="shared" si="246"/>
        <v>33000</v>
      </c>
      <c r="E437" s="130">
        <f t="shared" si="246"/>
        <v>16000</v>
      </c>
      <c r="F437" s="130">
        <f t="shared" si="246"/>
        <v>17000</v>
      </c>
      <c r="G437" s="130">
        <f t="shared" si="246"/>
        <v>0</v>
      </c>
      <c r="H437" s="130">
        <f t="shared" si="246"/>
        <v>0</v>
      </c>
      <c r="I437" s="130">
        <f t="shared" si="246"/>
        <v>0</v>
      </c>
      <c r="J437" s="130">
        <f t="shared" si="246"/>
        <v>0</v>
      </c>
      <c r="K437" s="130">
        <f t="shared" si="246"/>
        <v>0</v>
      </c>
      <c r="L437" s="130">
        <f t="shared" si="246"/>
        <v>0</v>
      </c>
      <c r="M437" s="130">
        <f>+M438</f>
        <v>13462.26</v>
      </c>
      <c r="N437" s="166">
        <f>+M437/E437*100</f>
        <v>84.139125000000007</v>
      </c>
    </row>
    <row r="438" spans="1:20" ht="15.75" customHeight="1" x14ac:dyDescent="0.25">
      <c r="A438" s="128">
        <v>424</v>
      </c>
      <c r="B438" s="129" t="s">
        <v>141</v>
      </c>
      <c r="C438" s="130">
        <v>17000</v>
      </c>
      <c r="D438" s="130">
        <f>SUM(E438:K438)</f>
        <v>33000</v>
      </c>
      <c r="E438" s="130">
        <v>16000</v>
      </c>
      <c r="F438" s="130">
        <v>17000</v>
      </c>
      <c r="G438" s="130"/>
      <c r="H438" s="130"/>
      <c r="I438" s="130"/>
      <c r="J438" s="130"/>
      <c r="K438" s="130"/>
      <c r="L438" s="134"/>
      <c r="M438" s="130">
        <f>+M439</f>
        <v>13462.26</v>
      </c>
      <c r="N438" s="166">
        <f>+M438/E438*100</f>
        <v>84.139125000000007</v>
      </c>
    </row>
    <row r="439" spans="1:20" x14ac:dyDescent="0.25">
      <c r="A439" s="131">
        <v>4241</v>
      </c>
      <c r="B439" s="132" t="s">
        <v>110</v>
      </c>
      <c r="C439" s="130"/>
      <c r="D439" s="130"/>
      <c r="E439" s="130"/>
      <c r="F439" s="130"/>
      <c r="G439" s="130"/>
      <c r="H439" s="130"/>
      <c r="I439" s="130"/>
      <c r="J439" s="130"/>
      <c r="K439" s="130"/>
      <c r="L439" s="134"/>
      <c r="M439" s="130">
        <v>13462.26</v>
      </c>
      <c r="N439" s="167"/>
    </row>
    <row r="441" spans="1:20" x14ac:dyDescent="0.25">
      <c r="A441" s="2"/>
      <c r="B441" s="57" t="s">
        <v>63</v>
      </c>
      <c r="C441" s="71"/>
      <c r="E441" s="59"/>
      <c r="F441" s="71"/>
      <c r="G441" s="71"/>
      <c r="H441" s="71"/>
      <c r="I441" s="59"/>
      <c r="J441" s="60"/>
      <c r="K441" s="60"/>
      <c r="L441" s="59"/>
      <c r="M441" s="71" t="s">
        <v>64</v>
      </c>
      <c r="N441" s="59"/>
      <c r="P441" s="59"/>
      <c r="Q441" s="59"/>
      <c r="S441" s="59"/>
      <c r="T441" s="59"/>
    </row>
    <row r="442" spans="1:20" x14ac:dyDescent="0.25">
      <c r="A442" s="2"/>
      <c r="B442" s="57" t="s">
        <v>65</v>
      </c>
      <c r="C442" s="71"/>
      <c r="E442" s="59"/>
      <c r="F442" s="71"/>
      <c r="G442" s="93"/>
      <c r="H442" s="93"/>
      <c r="I442" s="59"/>
      <c r="J442" s="60"/>
      <c r="K442" s="60"/>
      <c r="L442" s="59"/>
      <c r="M442" s="71" t="s">
        <v>189</v>
      </c>
      <c r="N442" s="59"/>
      <c r="P442" s="59"/>
      <c r="Q442" s="59"/>
      <c r="S442" s="59"/>
      <c r="T442" s="59"/>
    </row>
  </sheetData>
  <mergeCells count="2">
    <mergeCell ref="A4:B4"/>
    <mergeCell ref="A224:B224"/>
  </mergeCells>
  <pageMargins left="0.25" right="0.25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6</vt:i4>
      </vt:variant>
    </vt:vector>
  </HeadingPairs>
  <TitlesOfParts>
    <vt:vector size="9" baseType="lpstr">
      <vt:lpstr>opći dio</vt:lpstr>
      <vt:lpstr>Ekonomska kl.</vt:lpstr>
      <vt:lpstr>posebni dio-programska kl.</vt:lpstr>
      <vt:lpstr>'Ekonomska kl.'!Ispis_naslova</vt:lpstr>
      <vt:lpstr>'opći dio'!Ispis_naslova</vt:lpstr>
      <vt:lpstr>'posebni dio-programska kl.'!Ispis_naslova</vt:lpstr>
      <vt:lpstr>'Ekonomska kl.'!Podrucje_ispisa</vt:lpstr>
      <vt:lpstr>'opći dio'!Podrucje_ispisa</vt:lpstr>
      <vt:lpstr>'posebni dio-programska kl.'!Podrucje_ispisa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2023-03-20T08:11:47Z</dcterms:modified>
</cp:coreProperties>
</file>